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LIC\DOCUMENTOS 2025\03 - LICITAÇÕES\PORTAL CEAGESP\Pregão Eletrônico\"/>
    </mc:Choice>
  </mc:AlternateContent>
  <bookViews>
    <workbookView xWindow="0" yWindow="0" windowWidth="24000" windowHeight="9735" tabRatio="815"/>
  </bookViews>
  <sheets>
    <sheet name="Observações" sheetId="127" r:id="rId1"/>
    <sheet name="Insumos Gerais" sheetId="133" r:id="rId2"/>
    <sheet name="G-I - Vigia DIU desarm" sheetId="85" r:id="rId3"/>
    <sheet name="G-I - Vigia DIU Arm BICICLETA" sheetId="99" r:id="rId4"/>
    <sheet name="G-I - Vigia DIU arm-cond MOTO" sheetId="73" r:id="rId5"/>
    <sheet name="G-I - Vigia DIU arm-cond CARRO" sheetId="129" r:id="rId6"/>
    <sheet name="G-I - Vigia DIU arm" sheetId="81" r:id="rId7"/>
    <sheet name="G-I - Vigia DIU Líder arm" sheetId="83" r:id="rId8"/>
    <sheet name="G-I - Supervisor DIU Desarm" sheetId="75" r:id="rId9"/>
    <sheet name="G-I - Vigia NOT desarm" sheetId="112" r:id="rId10"/>
    <sheet name="G-I - Vigia NOT arm-cond MOTO" sheetId="120" r:id="rId11"/>
    <sheet name="G-I - Vigia NOT arm-cond CARRO" sheetId="130" r:id="rId12"/>
    <sheet name="G-I - Vigia NOT arm" sheetId="109" r:id="rId13"/>
    <sheet name="G-I - Vigia NOT Líder arm" sheetId="110" r:id="rId14"/>
    <sheet name="G-I - Supervisor NOT Desarm" sheetId="111" r:id="rId15"/>
    <sheet name="G-II - Vigia OP MONITORA DIU" sheetId="135" r:id="rId16"/>
    <sheet name="G-II - Vigia OP MONITORA NOT" sheetId="136" r:id="rId17"/>
    <sheet name="Estimativa M.O. LICITANTE" sheetId="63" r:id="rId18"/>
    <sheet name="G-III - SIST VIG ELETRÔNICA" sheetId="139" r:id="rId19"/>
  </sheets>
  <externalReferences>
    <externalReference r:id="rId20"/>
  </externalReferences>
  <definedNames>
    <definedName name="_xlnm.Print_Area" localSheetId="17">'Estimativa M.O. LICITANTE'!$B$1:$J$28</definedName>
    <definedName name="_xlnm.Print_Area" localSheetId="8">'G-I - Supervisor DIU Desarm'!$A$1:$G$140</definedName>
    <definedName name="_xlnm.Print_Area" localSheetId="14">'G-I - Supervisor NOT Desarm'!$A$1:$G$140</definedName>
    <definedName name="_xlnm.Print_Area" localSheetId="6">'G-I - Vigia DIU arm'!$A$1:$G$140</definedName>
    <definedName name="_xlnm.Print_Area" localSheetId="3">'G-I - Vigia DIU Arm BICICLETA'!$A$1:$G$140</definedName>
    <definedName name="_xlnm.Print_Area" localSheetId="5">'G-I - Vigia DIU arm-cond CARRO'!$A$1:$G$140</definedName>
    <definedName name="_xlnm.Print_Area" localSheetId="4">'G-I - Vigia DIU arm-cond MOTO'!$A$1:$G$140</definedName>
    <definedName name="_xlnm.Print_Area" localSheetId="2">'G-I - Vigia DIU desarm'!$A$1:$G$140</definedName>
    <definedName name="_xlnm.Print_Area" localSheetId="7">'G-I - Vigia DIU Líder arm'!$A$1:$G$140</definedName>
    <definedName name="_xlnm.Print_Area" localSheetId="12">'G-I - Vigia NOT arm'!$A$1:$G$140</definedName>
    <definedName name="_xlnm.Print_Area" localSheetId="11">'G-I - Vigia NOT arm-cond CARRO'!$A$1:$G$140</definedName>
    <definedName name="_xlnm.Print_Area" localSheetId="10">'G-I - Vigia NOT arm-cond MOTO'!$A$1:$G$140</definedName>
    <definedName name="_xlnm.Print_Area" localSheetId="9">'G-I - Vigia NOT desarm'!$A$1:$G$140</definedName>
    <definedName name="_xlnm.Print_Area" localSheetId="13">'G-I - Vigia NOT Líder arm'!$A$1:$G$140</definedName>
    <definedName name="_xlnm.Print_Area" localSheetId="15">'G-II - Vigia OP MONITORA DIU'!$A$1:$G$140</definedName>
    <definedName name="_xlnm.Print_Area" localSheetId="16">'G-II - Vigia OP MONITORA NOT'!$A$1:$G$140</definedName>
    <definedName name="_xlnm.Print_Area" localSheetId="18">'G-III - SIST VIG ELETRÔNICA'!$B$1:$H$55</definedName>
    <definedName name="_xlnm.Print_Area" localSheetId="1">'Insumos Gerais'!$A$1:$E$88</definedName>
    <definedName name="EQUIPTOS" localSheetId="5">'[1]Equipamentos e material'!#REF!</definedName>
    <definedName name="EQUIPTOS" localSheetId="11">'[1]Equipamentos e material'!#REF!</definedName>
    <definedName name="EQUIPTOS" localSheetId="15">'[1]Equipamentos e material'!#REF!</definedName>
    <definedName name="EQUIPTOS" localSheetId="16">'[1]Equipamentos e material'!#REF!</definedName>
    <definedName name="EQUIPTOS">'[1]Equipamentos e material'!#REF!</definedName>
  </definedNames>
  <calcPr calcId="152511" iterate="1" fullPrecision="0"/>
</workbook>
</file>

<file path=xl/calcChain.xml><?xml version="1.0" encoding="utf-8"?>
<calcChain xmlns="http://schemas.openxmlformats.org/spreadsheetml/2006/main">
  <c r="I55" i="139" l="1"/>
  <c r="H55" i="139"/>
  <c r="F86" i="99" l="1"/>
  <c r="F86" i="73"/>
  <c r="F86" i="129"/>
  <c r="F86" i="81"/>
  <c r="F86" i="83"/>
  <c r="F86" i="75"/>
  <c r="F86" i="112"/>
  <c r="F86" i="120"/>
  <c r="F86" i="130"/>
  <c r="F86" i="109"/>
  <c r="F86" i="110"/>
  <c r="F86" i="111"/>
  <c r="F86" i="135"/>
  <c r="F86" i="136"/>
  <c r="F86" i="85"/>
  <c r="F83" i="99"/>
  <c r="F83" i="73"/>
  <c r="F83" i="129"/>
  <c r="F83" i="81"/>
  <c r="F83" i="83"/>
  <c r="F83" i="75"/>
  <c r="F83" i="112"/>
  <c r="F83" i="120"/>
  <c r="F83" i="130"/>
  <c r="F83" i="109"/>
  <c r="F83" i="110"/>
  <c r="F83" i="111"/>
  <c r="F83" i="135"/>
  <c r="F83" i="136"/>
  <c r="F83" i="85"/>
  <c r="F81" i="99"/>
  <c r="F81" i="73"/>
  <c r="F81" i="129"/>
  <c r="F81" i="81"/>
  <c r="F81" i="83"/>
  <c r="F81" i="75"/>
  <c r="F81" i="112"/>
  <c r="F81" i="120"/>
  <c r="F81" i="130"/>
  <c r="F81" i="109"/>
  <c r="F81" i="110"/>
  <c r="F81" i="111"/>
  <c r="F81" i="135"/>
  <c r="F81" i="136"/>
  <c r="F81" i="85"/>
  <c r="F80" i="99"/>
  <c r="F80" i="73"/>
  <c r="F80" i="129"/>
  <c r="F80" i="81"/>
  <c r="F80" i="83"/>
  <c r="F80" i="75"/>
  <c r="F80" i="112"/>
  <c r="F80" i="120"/>
  <c r="F80" i="130"/>
  <c r="F80" i="109"/>
  <c r="F80" i="110"/>
  <c r="F80" i="111"/>
  <c r="F80" i="135"/>
  <c r="F80" i="136"/>
  <c r="F80" i="85"/>
  <c r="F79" i="99"/>
  <c r="F79" i="73"/>
  <c r="F79" i="129"/>
  <c r="F79" i="81"/>
  <c r="F79" i="83"/>
  <c r="F79" i="75"/>
  <c r="F79" i="112"/>
  <c r="F79" i="120"/>
  <c r="F79" i="130"/>
  <c r="F79" i="109"/>
  <c r="F79" i="110"/>
  <c r="F79" i="111"/>
  <c r="F79" i="135"/>
  <c r="F79" i="136"/>
  <c r="F79" i="85"/>
  <c r="F72" i="99"/>
  <c r="F72" i="73"/>
  <c r="F72" i="129"/>
  <c r="F72" i="81"/>
  <c r="F72" i="83"/>
  <c r="F72" i="75"/>
  <c r="F72" i="112"/>
  <c r="F72" i="120"/>
  <c r="F72" i="130"/>
  <c r="F72" i="109"/>
  <c r="F72" i="110"/>
  <c r="F72" i="111"/>
  <c r="F72" i="135"/>
  <c r="F72" i="136"/>
  <c r="F72" i="85"/>
  <c r="F71" i="99"/>
  <c r="F71" i="73"/>
  <c r="F71" i="129"/>
  <c r="F71" i="81"/>
  <c r="F71" i="83"/>
  <c r="F71" i="75"/>
  <c r="F71" i="112"/>
  <c r="F71" i="120"/>
  <c r="F71" i="130"/>
  <c r="F71" i="109"/>
  <c r="F71" i="110"/>
  <c r="F71" i="111"/>
  <c r="F71" i="135"/>
  <c r="F71" i="136"/>
  <c r="F71" i="85"/>
  <c r="F69" i="99"/>
  <c r="F69" i="73"/>
  <c r="F69" i="129"/>
  <c r="F69" i="81"/>
  <c r="F69" i="83"/>
  <c r="F69" i="75"/>
  <c r="F69" i="112"/>
  <c r="F69" i="120"/>
  <c r="F69" i="130"/>
  <c r="F69" i="109"/>
  <c r="F69" i="110"/>
  <c r="F69" i="111"/>
  <c r="F69" i="135"/>
  <c r="F69" i="136"/>
  <c r="F69" i="85"/>
  <c r="E55" i="99"/>
  <c r="E55" i="73"/>
  <c r="E55" i="129"/>
  <c r="E55" i="81"/>
  <c r="E55" i="83"/>
  <c r="E55" i="75"/>
  <c r="E55" i="112"/>
  <c r="E55" i="120"/>
  <c r="E55" i="130"/>
  <c r="E55" i="109"/>
  <c r="E55" i="110"/>
  <c r="E55" i="111"/>
  <c r="E55" i="135"/>
  <c r="E55" i="136"/>
  <c r="E55" i="85"/>
  <c r="E54" i="99"/>
  <c r="E54" i="73"/>
  <c r="E54" i="129"/>
  <c r="E54" i="81"/>
  <c r="E54" i="83"/>
  <c r="E54" i="75"/>
  <c r="E54" i="112"/>
  <c r="E54" i="120"/>
  <c r="E54" i="130"/>
  <c r="E54" i="109"/>
  <c r="E54" i="110"/>
  <c r="E54" i="111"/>
  <c r="E54" i="135"/>
  <c r="E54" i="136"/>
  <c r="E54" i="85"/>
  <c r="E53" i="99"/>
  <c r="E53" i="73"/>
  <c r="E53" i="129"/>
  <c r="E53" i="81"/>
  <c r="E53" i="83"/>
  <c r="E53" i="75"/>
  <c r="E53" i="112"/>
  <c r="E53" i="120"/>
  <c r="E53" i="130"/>
  <c r="E53" i="109"/>
  <c r="E53" i="110"/>
  <c r="E53" i="111"/>
  <c r="E53" i="135"/>
  <c r="E53" i="136"/>
  <c r="E53" i="85"/>
  <c r="F49" i="99"/>
  <c r="F49" i="73"/>
  <c r="F49" i="129"/>
  <c r="F49" i="81"/>
  <c r="F49" i="83"/>
  <c r="F49" i="75"/>
  <c r="F49" i="112"/>
  <c r="F49" i="120"/>
  <c r="F49" i="130"/>
  <c r="F49" i="109"/>
  <c r="F49" i="110"/>
  <c r="F49" i="111"/>
  <c r="F49" i="135"/>
  <c r="F49" i="136"/>
  <c r="F49" i="85"/>
  <c r="F48" i="99"/>
  <c r="F48" i="73"/>
  <c r="F48" i="129"/>
  <c r="F48" i="81"/>
  <c r="F48" i="83"/>
  <c r="F48" i="75"/>
  <c r="F48" i="112"/>
  <c r="F48" i="120"/>
  <c r="F48" i="130"/>
  <c r="F48" i="109"/>
  <c r="F48" i="110"/>
  <c r="F48" i="111"/>
  <c r="F48" i="135"/>
  <c r="F48" i="136"/>
  <c r="F48" i="85"/>
  <c r="F47" i="99"/>
  <c r="F47" i="73"/>
  <c r="F47" i="129"/>
  <c r="F47" i="81"/>
  <c r="F47" i="83"/>
  <c r="F47" i="75"/>
  <c r="F47" i="112"/>
  <c r="F47" i="120"/>
  <c r="F47" i="130"/>
  <c r="F47" i="109"/>
  <c r="F47" i="110"/>
  <c r="F47" i="111"/>
  <c r="F47" i="135"/>
  <c r="F47" i="136"/>
  <c r="F47" i="85"/>
  <c r="F46" i="99"/>
  <c r="F46" i="73"/>
  <c r="F46" i="129"/>
  <c r="F46" i="81"/>
  <c r="F46" i="83"/>
  <c r="F46" i="75"/>
  <c r="F46" i="112"/>
  <c r="F46" i="120"/>
  <c r="F46" i="130"/>
  <c r="F46" i="109"/>
  <c r="F46" i="110"/>
  <c r="F46" i="111"/>
  <c r="F46" i="135"/>
  <c r="F46" i="136"/>
  <c r="F46" i="85"/>
  <c r="F45" i="99"/>
  <c r="F45" i="73"/>
  <c r="F45" i="129"/>
  <c r="F45" i="81"/>
  <c r="F45" i="83"/>
  <c r="F45" i="75"/>
  <c r="F45" i="112"/>
  <c r="F45" i="120"/>
  <c r="F45" i="130"/>
  <c r="F45" i="109"/>
  <c r="F45" i="110"/>
  <c r="F45" i="111"/>
  <c r="F45" i="135"/>
  <c r="F45" i="136"/>
  <c r="F45" i="85"/>
  <c r="F44" i="99"/>
  <c r="F44" i="73"/>
  <c r="F44" i="129"/>
  <c r="F44" i="81"/>
  <c r="F44" i="83"/>
  <c r="F44" i="75"/>
  <c r="F44" i="112"/>
  <c r="F44" i="120"/>
  <c r="F44" i="130"/>
  <c r="F44" i="109"/>
  <c r="F44" i="110"/>
  <c r="F44" i="111"/>
  <c r="F44" i="135"/>
  <c r="F44" i="136"/>
  <c r="F44" i="85"/>
  <c r="F43" i="99"/>
  <c r="F43" i="73"/>
  <c r="F43" i="129"/>
  <c r="F43" i="81"/>
  <c r="F43" i="83"/>
  <c r="F43" i="75"/>
  <c r="F43" i="112"/>
  <c r="F43" i="120"/>
  <c r="F43" i="130"/>
  <c r="F43" i="109"/>
  <c r="F43" i="110"/>
  <c r="F43" i="111"/>
  <c r="F43" i="135"/>
  <c r="F43" i="136"/>
  <c r="F43" i="85"/>
  <c r="F42" i="99"/>
  <c r="F42" i="73"/>
  <c r="F42" i="129"/>
  <c r="F42" i="81"/>
  <c r="F42" i="83"/>
  <c r="F42" i="75"/>
  <c r="F42" i="112"/>
  <c r="F42" i="120"/>
  <c r="F42" i="130"/>
  <c r="F42" i="109"/>
  <c r="F42" i="110"/>
  <c r="F42" i="111"/>
  <c r="F42" i="135"/>
  <c r="F42" i="136"/>
  <c r="F42" i="85"/>
  <c r="F37" i="99"/>
  <c r="F37" i="73"/>
  <c r="F37" i="129"/>
  <c r="F37" i="81"/>
  <c r="F37" i="83"/>
  <c r="F37" i="75"/>
  <c r="F37" i="112"/>
  <c r="F37" i="120"/>
  <c r="F37" i="130"/>
  <c r="F37" i="109"/>
  <c r="F37" i="110"/>
  <c r="F37" i="111"/>
  <c r="F37" i="135"/>
  <c r="F37" i="136"/>
  <c r="F37" i="85"/>
  <c r="F36" i="99"/>
  <c r="F36" i="73"/>
  <c r="F36" i="129"/>
  <c r="F36" i="81"/>
  <c r="F36" i="83"/>
  <c r="F36" i="75"/>
  <c r="F36" i="112"/>
  <c r="F36" i="120"/>
  <c r="F36" i="130"/>
  <c r="F36" i="109"/>
  <c r="F36" i="110"/>
  <c r="F36" i="111"/>
  <c r="F36" i="135"/>
  <c r="F36" i="136"/>
  <c r="F36" i="85"/>
  <c r="F28" i="99"/>
  <c r="F28" i="73"/>
  <c r="F28" i="129"/>
  <c r="F28" i="81"/>
  <c r="F28" i="83"/>
  <c r="F28" i="75"/>
  <c r="F28" i="112"/>
  <c r="F28" i="120"/>
  <c r="F28" i="130"/>
  <c r="F28" i="109"/>
  <c r="F28" i="110"/>
  <c r="F28" i="111"/>
  <c r="F28" i="135"/>
  <c r="F28" i="136"/>
  <c r="F28" i="85"/>
  <c r="F24" i="63" l="1"/>
  <c r="G24" i="63" s="1"/>
  <c r="E24" i="63"/>
  <c r="D24" i="63"/>
  <c r="C24" i="63"/>
  <c r="B24" i="63"/>
  <c r="F23" i="63"/>
  <c r="E23" i="63"/>
  <c r="D23" i="63"/>
  <c r="C23" i="63"/>
  <c r="B23" i="63"/>
  <c r="G23" i="63" l="1"/>
  <c r="G25" i="63" s="1"/>
  <c r="F25" i="63"/>
  <c r="F139" i="136" l="1"/>
  <c r="G138" i="136"/>
  <c r="F137" i="136"/>
  <c r="F124" i="136"/>
  <c r="F125" i="136" s="1"/>
  <c r="G113" i="136"/>
  <c r="G112" i="136"/>
  <c r="B112" i="136"/>
  <c r="B111" i="136"/>
  <c r="B110" i="136"/>
  <c r="G109" i="136"/>
  <c r="B109" i="136"/>
  <c r="G108" i="136"/>
  <c r="B108" i="136"/>
  <c r="B107" i="136"/>
  <c r="B106" i="136"/>
  <c r="G96" i="136"/>
  <c r="F96" i="136"/>
  <c r="F93" i="136"/>
  <c r="G93" i="136" s="1"/>
  <c r="F92" i="136"/>
  <c r="F94" i="136" s="1"/>
  <c r="F102" i="136" s="1"/>
  <c r="F84" i="136"/>
  <c r="F100" i="136" s="1"/>
  <c r="F70" i="136"/>
  <c r="G60" i="136"/>
  <c r="G59" i="136"/>
  <c r="G58" i="136"/>
  <c r="E57" i="136"/>
  <c r="G57" i="136" s="1"/>
  <c r="E56" i="136"/>
  <c r="G56" i="136" s="1"/>
  <c r="G55" i="136"/>
  <c r="G54" i="136"/>
  <c r="F53" i="136"/>
  <c r="G53" i="136" s="1"/>
  <c r="F52" i="136"/>
  <c r="F50" i="136"/>
  <c r="F87" i="136" s="1"/>
  <c r="F38" i="136"/>
  <c r="G32" i="136"/>
  <c r="F30" i="136"/>
  <c r="G29" i="136"/>
  <c r="G27" i="136"/>
  <c r="G52" i="136" s="1"/>
  <c r="F139" i="135"/>
  <c r="G138" i="135"/>
  <c r="F137" i="135"/>
  <c r="F124" i="135"/>
  <c r="F125" i="135" s="1"/>
  <c r="G113" i="135"/>
  <c r="G112" i="135"/>
  <c r="B112" i="135"/>
  <c r="B111" i="135"/>
  <c r="B110" i="135"/>
  <c r="G109" i="135"/>
  <c r="B109" i="135"/>
  <c r="G108" i="135"/>
  <c r="B108" i="135"/>
  <c r="B107" i="135"/>
  <c r="B106" i="135"/>
  <c r="F96" i="135"/>
  <c r="F94" i="135"/>
  <c r="F102" i="135" s="1"/>
  <c r="F93" i="135"/>
  <c r="G93" i="135" s="1"/>
  <c r="G92" i="135"/>
  <c r="F92" i="135"/>
  <c r="F84" i="135"/>
  <c r="F100" i="135" s="1"/>
  <c r="F70" i="135"/>
  <c r="G60" i="135"/>
  <c r="G59" i="135"/>
  <c r="G58" i="135"/>
  <c r="E57" i="135"/>
  <c r="G57" i="135" s="1"/>
  <c r="E56" i="135"/>
  <c r="G56" i="135" s="1"/>
  <c r="G55" i="135"/>
  <c r="G54" i="135"/>
  <c r="F53" i="135"/>
  <c r="G53" i="135"/>
  <c r="F52" i="135"/>
  <c r="G52" i="135" s="1"/>
  <c r="F50" i="135"/>
  <c r="F38" i="135"/>
  <c r="G32" i="135"/>
  <c r="F30" i="135"/>
  <c r="G29" i="135"/>
  <c r="G27" i="135"/>
  <c r="G31" i="135" s="1"/>
  <c r="G61" i="136" l="1"/>
  <c r="G65" i="136" s="1"/>
  <c r="F73" i="136"/>
  <c r="F75" i="136" s="1"/>
  <c r="F73" i="135"/>
  <c r="F75" i="135" s="1"/>
  <c r="F64" i="136"/>
  <c r="G61" i="135"/>
  <c r="G65" i="135" s="1"/>
  <c r="G28" i="135"/>
  <c r="G30" i="135" s="1"/>
  <c r="G33" i="135" s="1"/>
  <c r="F39" i="136"/>
  <c r="F40" i="136" s="1"/>
  <c r="F63" i="136" s="1"/>
  <c r="G92" i="136"/>
  <c r="G94" i="136" s="1"/>
  <c r="G102" i="136" s="1"/>
  <c r="F97" i="136"/>
  <c r="G97" i="136" s="1"/>
  <c r="G98" i="136" s="1"/>
  <c r="G103" i="136" s="1"/>
  <c r="G28" i="136"/>
  <c r="F88" i="136"/>
  <c r="F90" i="136" s="1"/>
  <c r="F101" i="136" s="1"/>
  <c r="G31" i="136"/>
  <c r="G94" i="135"/>
  <c r="G102" i="135" s="1"/>
  <c r="F39" i="135"/>
  <c r="F40" i="135" s="1"/>
  <c r="F63" i="135" s="1"/>
  <c r="F64" i="135"/>
  <c r="F87" i="135"/>
  <c r="G96" i="135"/>
  <c r="F97" i="135"/>
  <c r="G97" i="135" s="1"/>
  <c r="F88" i="135"/>
  <c r="F90" i="135" l="1"/>
  <c r="F101" i="135" s="1"/>
  <c r="G33" i="136"/>
  <c r="G30" i="136"/>
  <c r="F98" i="136"/>
  <c r="F103" i="136" s="1"/>
  <c r="H84" i="135"/>
  <c r="G80" i="135"/>
  <c r="G74" i="135"/>
  <c r="G46" i="135"/>
  <c r="G39" i="135"/>
  <c r="G45" i="135"/>
  <c r="G89" i="135"/>
  <c r="G73" i="135"/>
  <c r="G69" i="135"/>
  <c r="G127" i="135"/>
  <c r="G88" i="135"/>
  <c r="G79" i="135"/>
  <c r="H50" i="135"/>
  <c r="G44" i="135"/>
  <c r="G47" i="135"/>
  <c r="G83" i="135"/>
  <c r="G72" i="135"/>
  <c r="G43" i="135"/>
  <c r="G37" i="135"/>
  <c r="H94" i="135"/>
  <c r="G87" i="135"/>
  <c r="G78" i="135"/>
  <c r="G42" i="135"/>
  <c r="G82" i="135"/>
  <c r="H75" i="135"/>
  <c r="G71" i="135"/>
  <c r="G49" i="135"/>
  <c r="H40" i="135"/>
  <c r="G36" i="135"/>
  <c r="G48" i="135"/>
  <c r="G86" i="135"/>
  <c r="G81" i="135"/>
  <c r="G70" i="135"/>
  <c r="G98" i="135"/>
  <c r="G103" i="135" s="1"/>
  <c r="F98" i="135"/>
  <c r="F103" i="135" s="1"/>
  <c r="H98" i="135" l="1"/>
  <c r="H90" i="135"/>
  <c r="H90" i="136"/>
  <c r="G86" i="136"/>
  <c r="G81" i="136"/>
  <c r="H94" i="136"/>
  <c r="G70" i="136"/>
  <c r="G47" i="136"/>
  <c r="G36" i="136"/>
  <c r="H84" i="136"/>
  <c r="G80" i="136"/>
  <c r="G74" i="136"/>
  <c r="G46" i="136"/>
  <c r="G39" i="136"/>
  <c r="G48" i="136"/>
  <c r="G89" i="136"/>
  <c r="G73" i="136"/>
  <c r="G69" i="136"/>
  <c r="G45" i="136"/>
  <c r="G127" i="136"/>
  <c r="G71" i="136"/>
  <c r="H40" i="136"/>
  <c r="G88" i="136"/>
  <c r="G79" i="136"/>
  <c r="H50" i="136"/>
  <c r="G44" i="136"/>
  <c r="G82" i="136"/>
  <c r="G83" i="136"/>
  <c r="G72" i="136"/>
  <c r="G43" i="136"/>
  <c r="H98" i="136" s="1"/>
  <c r="G37" i="136"/>
  <c r="H75" i="136"/>
  <c r="G49" i="136"/>
  <c r="G87" i="136"/>
  <c r="G78" i="136"/>
  <c r="G42" i="136"/>
  <c r="G90" i="135"/>
  <c r="G101" i="135" s="1"/>
  <c r="G50" i="135"/>
  <c r="G64" i="135" s="1"/>
  <c r="G84" i="135"/>
  <c r="G100" i="135" s="1"/>
  <c r="G40" i="135"/>
  <c r="G63" i="135" s="1"/>
  <c r="G75" i="135"/>
  <c r="G129" i="135" s="1"/>
  <c r="G84" i="136" l="1"/>
  <c r="G100" i="136" s="1"/>
  <c r="G75" i="136"/>
  <c r="G129" i="136" s="1"/>
  <c r="G40" i="136"/>
  <c r="G63" i="136" s="1"/>
  <c r="G50" i="136"/>
  <c r="G64" i="136" s="1"/>
  <c r="G90" i="136"/>
  <c r="G101" i="136" s="1"/>
  <c r="G66" i="135"/>
  <c r="G128" i="135" s="1"/>
  <c r="G104" i="135"/>
  <c r="G130" i="135" s="1"/>
  <c r="G104" i="136" l="1"/>
  <c r="G130" i="136" s="1"/>
  <c r="G66" i="136"/>
  <c r="G128" i="136" s="1"/>
  <c r="B15" i="63" l="1"/>
  <c r="E72" i="133" l="1"/>
  <c r="E67" i="133"/>
  <c r="G112" i="99" l="1"/>
  <c r="G112" i="81"/>
  <c r="G112" i="83"/>
  <c r="G112" i="75"/>
  <c r="G112" i="85"/>
  <c r="G112" i="109"/>
  <c r="G112" i="110"/>
  <c r="G112" i="111"/>
  <c r="G112" i="112"/>
  <c r="B112" i="81"/>
  <c r="B112" i="73"/>
  <c r="B112" i="129"/>
  <c r="B112" i="83"/>
  <c r="B112" i="75"/>
  <c r="B112" i="85"/>
  <c r="B112" i="109"/>
  <c r="B112" i="120"/>
  <c r="B112" i="130"/>
  <c r="B112" i="110"/>
  <c r="B112" i="111"/>
  <c r="B112" i="112"/>
  <c r="B112" i="99"/>
  <c r="B111" i="81"/>
  <c r="B111" i="73"/>
  <c r="B111" i="129"/>
  <c r="B111" i="83"/>
  <c r="B111" i="75"/>
  <c r="B111" i="85"/>
  <c r="B111" i="109"/>
  <c r="B111" i="120"/>
  <c r="B111" i="130"/>
  <c r="B111" i="110"/>
  <c r="B111" i="111"/>
  <c r="B111" i="112"/>
  <c r="B111" i="99"/>
  <c r="B110" i="81"/>
  <c r="B110" i="73"/>
  <c r="B110" i="129"/>
  <c r="B110" i="83"/>
  <c r="B110" i="75"/>
  <c r="B110" i="85"/>
  <c r="B110" i="109"/>
  <c r="B110" i="120"/>
  <c r="B110" i="130"/>
  <c r="B110" i="110"/>
  <c r="B110" i="111"/>
  <c r="B110" i="112"/>
  <c r="B110" i="99"/>
  <c r="B109" i="81"/>
  <c r="B109" i="73"/>
  <c r="B109" i="129"/>
  <c r="B109" i="83"/>
  <c r="B109" i="75"/>
  <c r="B109" i="85"/>
  <c r="B109" i="109"/>
  <c r="B109" i="120"/>
  <c r="B109" i="130"/>
  <c r="B109" i="110"/>
  <c r="B109" i="111"/>
  <c r="B109" i="112"/>
  <c r="B109" i="99"/>
  <c r="B108" i="81"/>
  <c r="B108" i="73"/>
  <c r="B108" i="129"/>
  <c r="B108" i="83"/>
  <c r="B108" i="75"/>
  <c r="B108" i="85"/>
  <c r="B108" i="109"/>
  <c r="B108" i="120"/>
  <c r="B108" i="130"/>
  <c r="B108" i="110"/>
  <c r="B108" i="111"/>
  <c r="B108" i="112"/>
  <c r="B108" i="99"/>
  <c r="B107" i="81"/>
  <c r="B107" i="73"/>
  <c r="B107" i="129"/>
  <c r="B107" i="83"/>
  <c r="B107" i="75"/>
  <c r="B107" i="85"/>
  <c r="B107" i="109"/>
  <c r="B107" i="120"/>
  <c r="B107" i="130"/>
  <c r="B107" i="110"/>
  <c r="B107" i="111"/>
  <c r="B107" i="112"/>
  <c r="B107" i="99"/>
  <c r="B106" i="81"/>
  <c r="B106" i="73"/>
  <c r="B106" i="129"/>
  <c r="B106" i="83"/>
  <c r="B106" i="75"/>
  <c r="B106" i="85"/>
  <c r="B106" i="109"/>
  <c r="B106" i="120"/>
  <c r="B106" i="130"/>
  <c r="B106" i="110"/>
  <c r="B106" i="111"/>
  <c r="B106" i="112"/>
  <c r="B106" i="99"/>
  <c r="E71" i="133"/>
  <c r="E73" i="133"/>
  <c r="E53" i="133"/>
  <c r="E54" i="133"/>
  <c r="E55" i="133"/>
  <c r="E56" i="133"/>
  <c r="E57" i="133"/>
  <c r="E58" i="133"/>
  <c r="E59" i="133"/>
  <c r="E60" i="133"/>
  <c r="E61" i="133"/>
  <c r="E62" i="133"/>
  <c r="E63" i="133"/>
  <c r="E52" i="133"/>
  <c r="E47" i="133"/>
  <c r="E46" i="133"/>
  <c r="E17" i="133"/>
  <c r="E18" i="133"/>
  <c r="E19" i="133"/>
  <c r="E20" i="133"/>
  <c r="E21" i="133"/>
  <c r="E22" i="133"/>
  <c r="E23" i="133"/>
  <c r="E24" i="133"/>
  <c r="E25" i="133"/>
  <c r="E70" i="133"/>
  <c r="E69" i="133"/>
  <c r="E68" i="133"/>
  <c r="E41" i="133"/>
  <c r="E40" i="133"/>
  <c r="E35" i="133"/>
  <c r="E34" i="133"/>
  <c r="E33" i="133"/>
  <c r="E32" i="133"/>
  <c r="E31" i="133"/>
  <c r="E30" i="133"/>
  <c r="E16" i="133"/>
  <c r="E15" i="133"/>
  <c r="E10" i="133"/>
  <c r="E9" i="133"/>
  <c r="E8" i="133"/>
  <c r="E7" i="133"/>
  <c r="E6" i="133"/>
  <c r="E48" i="133" l="1"/>
  <c r="E42" i="133"/>
  <c r="E36" i="133"/>
  <c r="E11" i="133"/>
  <c r="E74" i="133"/>
  <c r="E26" i="133"/>
  <c r="E64" i="133"/>
  <c r="E111" i="136" l="1"/>
  <c r="G111" i="136" s="1"/>
  <c r="E111" i="135"/>
  <c r="G111" i="135" s="1"/>
  <c r="E111" i="83"/>
  <c r="G111" i="83" s="1"/>
  <c r="E111" i="111"/>
  <c r="G111" i="111" s="1"/>
  <c r="E111" i="129"/>
  <c r="G111" i="129" s="1"/>
  <c r="E111" i="75"/>
  <c r="G111" i="75" s="1"/>
  <c r="E111" i="112"/>
  <c r="G111" i="112" s="1"/>
  <c r="E111" i="110"/>
  <c r="G111" i="110" s="1"/>
  <c r="E111" i="85"/>
  <c r="G111" i="85" s="1"/>
  <c r="E111" i="99"/>
  <c r="G111" i="99" s="1"/>
  <c r="E111" i="109"/>
  <c r="G111" i="109" s="1"/>
  <c r="E111" i="130"/>
  <c r="G111" i="130" s="1"/>
  <c r="E111" i="81"/>
  <c r="G111" i="81" s="1"/>
  <c r="E111" i="120"/>
  <c r="G111" i="120" s="1"/>
  <c r="E111" i="73"/>
  <c r="G111" i="73" s="1"/>
  <c r="F16" i="63" l="1"/>
  <c r="E16" i="63"/>
  <c r="D16" i="63"/>
  <c r="C16" i="63"/>
  <c r="B16" i="63"/>
  <c r="F139" i="130"/>
  <c r="G138" i="130"/>
  <c r="F137" i="130"/>
  <c r="F124" i="130"/>
  <c r="F125" i="130" s="1"/>
  <c r="G113" i="130"/>
  <c r="G96" i="130"/>
  <c r="F96" i="130"/>
  <c r="F93" i="130"/>
  <c r="G93" i="130" s="1"/>
  <c r="F92" i="130"/>
  <c r="F94" i="130" s="1"/>
  <c r="F102" i="130" s="1"/>
  <c r="F70" i="130"/>
  <c r="G60" i="130"/>
  <c r="G59" i="130"/>
  <c r="G58" i="130"/>
  <c r="E57" i="130"/>
  <c r="G57" i="130" s="1"/>
  <c r="E56" i="130"/>
  <c r="G56" i="130" s="1"/>
  <c r="G55" i="130"/>
  <c r="G54" i="130"/>
  <c r="F53" i="130"/>
  <c r="G53" i="130"/>
  <c r="F52" i="130"/>
  <c r="F50" i="130"/>
  <c r="F87" i="130" s="1"/>
  <c r="F38" i="130"/>
  <c r="G32" i="130"/>
  <c r="F30" i="130"/>
  <c r="G29" i="130"/>
  <c r="G27" i="130"/>
  <c r="G52" i="130" s="1"/>
  <c r="F9" i="63"/>
  <c r="F8" i="63"/>
  <c r="E9" i="63"/>
  <c r="E8" i="63"/>
  <c r="D9" i="63"/>
  <c r="D8" i="63"/>
  <c r="C9" i="63"/>
  <c r="C8" i="63"/>
  <c r="B9" i="63"/>
  <c r="B8" i="63"/>
  <c r="F139" i="129"/>
  <c r="G138" i="129"/>
  <c r="F137" i="129"/>
  <c r="F124" i="129"/>
  <c r="F125" i="129" s="1"/>
  <c r="G113" i="129"/>
  <c r="G109" i="129"/>
  <c r="F96" i="129"/>
  <c r="G96" i="129" s="1"/>
  <c r="F93" i="129"/>
  <c r="G93" i="129" s="1"/>
  <c r="G94" i="129" s="1"/>
  <c r="G102" i="129" s="1"/>
  <c r="G92" i="129"/>
  <c r="F92" i="129"/>
  <c r="F94" i="129" s="1"/>
  <c r="F102" i="129" s="1"/>
  <c r="F70" i="129"/>
  <c r="G60" i="129"/>
  <c r="G59" i="129"/>
  <c r="G58" i="129"/>
  <c r="E57" i="129"/>
  <c r="G57" i="129" s="1"/>
  <c r="E56" i="129"/>
  <c r="G56" i="129" s="1"/>
  <c r="G55" i="129"/>
  <c r="G54" i="129"/>
  <c r="F53" i="129"/>
  <c r="G53" i="129"/>
  <c r="F52" i="129"/>
  <c r="F50" i="129"/>
  <c r="F38" i="129"/>
  <c r="G32" i="129"/>
  <c r="F30" i="129"/>
  <c r="G29" i="129"/>
  <c r="G27" i="129"/>
  <c r="G31" i="129" s="1"/>
  <c r="F73" i="129" l="1"/>
  <c r="F75" i="129" s="1"/>
  <c r="G52" i="129"/>
  <c r="G61" i="129" s="1"/>
  <c r="G65" i="129" s="1"/>
  <c r="G28" i="129"/>
  <c r="G61" i="130"/>
  <c r="G65" i="130" s="1"/>
  <c r="F84" i="129"/>
  <c r="F100" i="129" s="1"/>
  <c r="F97" i="129"/>
  <c r="F98" i="129" s="1"/>
  <c r="F103" i="129" s="1"/>
  <c r="F39" i="130"/>
  <c r="F40" i="130" s="1"/>
  <c r="F63" i="130" s="1"/>
  <c r="F73" i="130"/>
  <c r="F75" i="130" s="1"/>
  <c r="F84" i="130"/>
  <c r="F100" i="130" s="1"/>
  <c r="G30" i="129"/>
  <c r="G33" i="129" s="1"/>
  <c r="G16" i="63"/>
  <c r="F64" i="130"/>
  <c r="G28" i="130"/>
  <c r="G30" i="130" s="1"/>
  <c r="G92" i="130"/>
  <c r="G94" i="130" s="1"/>
  <c r="G102" i="130" s="1"/>
  <c r="F97" i="130"/>
  <c r="G97" i="130" s="1"/>
  <c r="G98" i="130" s="1"/>
  <c r="G103" i="130" s="1"/>
  <c r="F88" i="130"/>
  <c r="F90" i="130" s="1"/>
  <c r="F101" i="130" s="1"/>
  <c r="G31" i="130"/>
  <c r="G9" i="63"/>
  <c r="F39" i="129"/>
  <c r="F40" i="129" s="1"/>
  <c r="F63" i="129" s="1"/>
  <c r="F64" i="129"/>
  <c r="F87" i="129"/>
  <c r="F88" i="129"/>
  <c r="G97" i="129"/>
  <c r="G98" i="129" s="1"/>
  <c r="G103" i="129" s="1"/>
  <c r="G33" i="130" l="1"/>
  <c r="H84" i="130" s="1"/>
  <c r="F98" i="130"/>
  <c r="F103" i="130" s="1"/>
  <c r="G89" i="129"/>
  <c r="G73" i="129"/>
  <c r="G69" i="129"/>
  <c r="G45" i="129"/>
  <c r="G88" i="129"/>
  <c r="G79" i="129"/>
  <c r="H50" i="129"/>
  <c r="G44" i="129"/>
  <c r="G83" i="129"/>
  <c r="G72" i="129"/>
  <c r="G43" i="129"/>
  <c r="H98" i="129" s="1"/>
  <c r="G37" i="129"/>
  <c r="G87" i="129"/>
  <c r="G42" i="129"/>
  <c r="G78" i="129"/>
  <c r="G82" i="129"/>
  <c r="H75" i="129"/>
  <c r="G71" i="129"/>
  <c r="G49" i="129"/>
  <c r="H40" i="129"/>
  <c r="G36" i="129"/>
  <c r="G127" i="129"/>
  <c r="G39" i="129"/>
  <c r="G86" i="129"/>
  <c r="G81" i="129"/>
  <c r="G48" i="129"/>
  <c r="G74" i="129"/>
  <c r="G46" i="129"/>
  <c r="H94" i="129"/>
  <c r="G70" i="129"/>
  <c r="G47" i="129"/>
  <c r="H84" i="129"/>
  <c r="G80" i="129"/>
  <c r="F90" i="129"/>
  <c r="F101" i="129" s="1"/>
  <c r="G69" i="130" l="1"/>
  <c r="G83" i="130"/>
  <c r="G49" i="130"/>
  <c r="G78" i="130"/>
  <c r="H40" i="130"/>
  <c r="G89" i="130"/>
  <c r="G127" i="130"/>
  <c r="G42" i="130"/>
  <c r="G73" i="130"/>
  <c r="G48" i="130"/>
  <c r="G87" i="130"/>
  <c r="G44" i="130"/>
  <c r="G39" i="130"/>
  <c r="H94" i="130"/>
  <c r="G72" i="130"/>
  <c r="G81" i="130"/>
  <c r="H75" i="130"/>
  <c r="H50" i="130"/>
  <c r="G46" i="130"/>
  <c r="G90" i="129"/>
  <c r="G101" i="129" s="1"/>
  <c r="G86" i="130"/>
  <c r="G79" i="130"/>
  <c r="G47" i="130"/>
  <c r="H90" i="130"/>
  <c r="G37" i="130"/>
  <c r="G88" i="130"/>
  <c r="G80" i="130"/>
  <c r="G71" i="130"/>
  <c r="G82" i="130"/>
  <c r="G74" i="130"/>
  <c r="G70" i="130"/>
  <c r="G36" i="130"/>
  <c r="G43" i="130"/>
  <c r="G45" i="130"/>
  <c r="H90" i="129"/>
  <c r="G84" i="129"/>
  <c r="G100" i="129" s="1"/>
  <c r="G50" i="129"/>
  <c r="G64" i="129" s="1"/>
  <c r="G40" i="129"/>
  <c r="G63" i="129" s="1"/>
  <c r="G75" i="129"/>
  <c r="G129" i="129" s="1"/>
  <c r="G50" i="130" l="1"/>
  <c r="G64" i="130" s="1"/>
  <c r="G40" i="130"/>
  <c r="G63" i="130" s="1"/>
  <c r="G75" i="130"/>
  <c r="G129" i="130" s="1"/>
  <c r="G84" i="130"/>
  <c r="G100" i="130" s="1"/>
  <c r="H98" i="130"/>
  <c r="G90" i="130"/>
  <c r="G101" i="130" s="1"/>
  <c r="G104" i="129"/>
  <c r="G130" i="129" s="1"/>
  <c r="G66" i="129"/>
  <c r="G128" i="129" s="1"/>
  <c r="F7" i="63"/>
  <c r="G66" i="130" l="1"/>
  <c r="G128" i="130" s="1"/>
  <c r="G104" i="130"/>
  <c r="G130" i="130" s="1"/>
  <c r="F124" i="73" l="1"/>
  <c r="F124" i="81"/>
  <c r="F124" i="83"/>
  <c r="F124" i="75"/>
  <c r="F124" i="85"/>
  <c r="F124" i="120"/>
  <c r="F124" i="109"/>
  <c r="F124" i="110"/>
  <c r="F124" i="111"/>
  <c r="F124" i="112"/>
  <c r="F124" i="99"/>
  <c r="F98" i="112"/>
  <c r="F96" i="73"/>
  <c r="F96" i="81"/>
  <c r="G96" i="81" s="1"/>
  <c r="F96" i="83"/>
  <c r="G96" i="83" s="1"/>
  <c r="F96" i="75"/>
  <c r="F97" i="75" s="1"/>
  <c r="G97" i="75" s="1"/>
  <c r="F96" i="85"/>
  <c r="F96" i="120"/>
  <c r="G96" i="120" s="1"/>
  <c r="F96" i="109"/>
  <c r="F96" i="110"/>
  <c r="F96" i="111"/>
  <c r="G96" i="111" s="1"/>
  <c r="F97" i="112"/>
  <c r="G97" i="112" s="1"/>
  <c r="F96" i="112"/>
  <c r="G96" i="112" s="1"/>
  <c r="F96" i="99"/>
  <c r="F93" i="73"/>
  <c r="F93" i="81"/>
  <c r="G93" i="81" s="1"/>
  <c r="F93" i="83"/>
  <c r="F93" i="75"/>
  <c r="G93" i="75" s="1"/>
  <c r="F93" i="85"/>
  <c r="F93" i="120"/>
  <c r="F93" i="109"/>
  <c r="F93" i="110"/>
  <c r="F93" i="111"/>
  <c r="G93" i="111" s="1"/>
  <c r="F93" i="112"/>
  <c r="F93" i="99"/>
  <c r="F92" i="73"/>
  <c r="F94" i="73" s="1"/>
  <c r="F92" i="81"/>
  <c r="G92" i="81" s="1"/>
  <c r="F92" i="83"/>
  <c r="G92" i="83" s="1"/>
  <c r="F92" i="75"/>
  <c r="F94" i="75" s="1"/>
  <c r="F92" i="85"/>
  <c r="F94" i="85" s="1"/>
  <c r="F92" i="120"/>
  <c r="G92" i="120" s="1"/>
  <c r="G93" i="109"/>
  <c r="F92" i="109"/>
  <c r="F94" i="109" s="1"/>
  <c r="F92" i="110"/>
  <c r="F94" i="110" s="1"/>
  <c r="F92" i="111"/>
  <c r="G92" i="111" s="1"/>
  <c r="F92" i="112"/>
  <c r="G92" i="112" s="1"/>
  <c r="F92" i="99"/>
  <c r="F94" i="99" s="1"/>
  <c r="F94" i="81" l="1"/>
  <c r="F98" i="75"/>
  <c r="F94" i="111"/>
  <c r="F97" i="83"/>
  <c r="F97" i="111"/>
  <c r="G97" i="111" s="1"/>
  <c r="G98" i="111" s="1"/>
  <c r="F97" i="120"/>
  <c r="G97" i="120" s="1"/>
  <c r="G98" i="120" s="1"/>
  <c r="F97" i="81"/>
  <c r="G98" i="112"/>
  <c r="G96" i="99"/>
  <c r="G96" i="109"/>
  <c r="G96" i="75"/>
  <c r="G98" i="75" s="1"/>
  <c r="F97" i="99"/>
  <c r="G97" i="99" s="1"/>
  <c r="F97" i="109"/>
  <c r="G97" i="109" s="1"/>
  <c r="G96" i="73"/>
  <c r="F97" i="110"/>
  <c r="G97" i="110" s="1"/>
  <c r="F97" i="85"/>
  <c r="G97" i="85" s="1"/>
  <c r="F97" i="73"/>
  <c r="G96" i="110"/>
  <c r="G96" i="85"/>
  <c r="G94" i="81"/>
  <c r="G94" i="111"/>
  <c r="G93" i="112"/>
  <c r="G94" i="112" s="1"/>
  <c r="G93" i="120"/>
  <c r="G94" i="120" s="1"/>
  <c r="G93" i="83"/>
  <c r="G94" i="83" s="1"/>
  <c r="G92" i="99"/>
  <c r="G92" i="109"/>
  <c r="G94" i="109" s="1"/>
  <c r="G92" i="75"/>
  <c r="G94" i="75" s="1"/>
  <c r="F94" i="120"/>
  <c r="F94" i="83"/>
  <c r="G93" i="99"/>
  <c r="F94" i="112"/>
  <c r="G92" i="110"/>
  <c r="G92" i="85"/>
  <c r="G92" i="73"/>
  <c r="G93" i="110"/>
  <c r="G93" i="85"/>
  <c r="G93" i="73"/>
  <c r="G98" i="109" l="1"/>
  <c r="F98" i="111"/>
  <c r="F98" i="110"/>
  <c r="G97" i="73"/>
  <c r="F98" i="73"/>
  <c r="G97" i="81"/>
  <c r="G98" i="81" s="1"/>
  <c r="F98" i="81"/>
  <c r="F98" i="120"/>
  <c r="F98" i="85"/>
  <c r="F98" i="99"/>
  <c r="G97" i="83"/>
  <c r="G98" i="83" s="1"/>
  <c r="F98" i="83"/>
  <c r="F98" i="109"/>
  <c r="G98" i="99"/>
  <c r="G98" i="85"/>
  <c r="G98" i="73"/>
  <c r="G98" i="110"/>
  <c r="G94" i="110"/>
  <c r="G94" i="99"/>
  <c r="G94" i="73"/>
  <c r="G94" i="85"/>
  <c r="F15" i="63" l="1"/>
  <c r="E15" i="63"/>
  <c r="D15" i="63"/>
  <c r="C15" i="63"/>
  <c r="F139" i="120"/>
  <c r="G138" i="120"/>
  <c r="F137" i="120"/>
  <c r="F125" i="120"/>
  <c r="G113" i="120"/>
  <c r="F103" i="120"/>
  <c r="F102" i="120"/>
  <c r="F84" i="120"/>
  <c r="F100" i="120" s="1"/>
  <c r="G60" i="120"/>
  <c r="G59" i="120"/>
  <c r="G58" i="120"/>
  <c r="E57" i="120"/>
  <c r="G57" i="120" s="1"/>
  <c r="E56" i="120"/>
  <c r="G56" i="120" s="1"/>
  <c r="G55" i="120"/>
  <c r="G54" i="120"/>
  <c r="F53" i="120"/>
  <c r="G53" i="120"/>
  <c r="F52" i="120"/>
  <c r="F50" i="120"/>
  <c r="F88" i="120" s="1"/>
  <c r="F38" i="120"/>
  <c r="G32" i="120"/>
  <c r="F30" i="120"/>
  <c r="G29" i="120"/>
  <c r="G27" i="120"/>
  <c r="F64" i="120" l="1"/>
  <c r="G31" i="120"/>
  <c r="F73" i="120"/>
  <c r="G28" i="120"/>
  <c r="G30" i="120" s="1"/>
  <c r="F39" i="120"/>
  <c r="F40" i="120" s="1"/>
  <c r="F63" i="120" s="1"/>
  <c r="F87" i="120"/>
  <c r="F90" i="120" s="1"/>
  <c r="F101" i="120" s="1"/>
  <c r="G52" i="120"/>
  <c r="G61" i="120" s="1"/>
  <c r="G65" i="120" s="1"/>
  <c r="F70" i="120"/>
  <c r="F75" i="120" s="1"/>
  <c r="G33" i="120" l="1"/>
  <c r="G83" i="120" l="1"/>
  <c r="G72" i="120"/>
  <c r="G70" i="120"/>
  <c r="G47" i="120"/>
  <c r="G43" i="120"/>
  <c r="H98" i="120" s="1"/>
  <c r="G37" i="120"/>
  <c r="G48" i="120"/>
  <c r="G87" i="120"/>
  <c r="H84" i="120"/>
  <c r="G80" i="120"/>
  <c r="G78" i="120"/>
  <c r="G74" i="120"/>
  <c r="G46" i="120"/>
  <c r="G42" i="120"/>
  <c r="G39" i="120"/>
  <c r="H50" i="120"/>
  <c r="G44" i="120"/>
  <c r="G103" i="120"/>
  <c r="G102" i="120"/>
  <c r="G89" i="120"/>
  <c r="G82" i="120"/>
  <c r="H75" i="120"/>
  <c r="G73" i="120"/>
  <c r="G71" i="120"/>
  <c r="G69" i="120"/>
  <c r="G49" i="120"/>
  <c r="G45" i="120"/>
  <c r="H40" i="120"/>
  <c r="G36" i="120"/>
  <c r="G127" i="120"/>
  <c r="H94" i="120"/>
  <c r="H90" i="120"/>
  <c r="G88" i="120"/>
  <c r="G86" i="120"/>
  <c r="G81" i="120"/>
  <c r="G79" i="120"/>
  <c r="G40" i="120" l="1"/>
  <c r="G63" i="120" s="1"/>
  <c r="G84" i="120"/>
  <c r="G100" i="120" s="1"/>
  <c r="G50" i="120"/>
  <c r="G64" i="120" s="1"/>
  <c r="G90" i="120"/>
  <c r="G101" i="120" s="1"/>
  <c r="G75" i="120"/>
  <c r="G129" i="120" s="1"/>
  <c r="G66" i="120" l="1"/>
  <c r="G128" i="120" s="1"/>
  <c r="G104" i="120"/>
  <c r="G130" i="120" s="1"/>
  <c r="F30" i="109" l="1"/>
  <c r="F14" i="63"/>
  <c r="F19" i="63"/>
  <c r="F18" i="63"/>
  <c r="F17" i="63"/>
  <c r="E14" i="63"/>
  <c r="E19" i="63"/>
  <c r="E18" i="63"/>
  <c r="E17" i="63"/>
  <c r="D14" i="63"/>
  <c r="D19" i="63"/>
  <c r="D18" i="63"/>
  <c r="D17" i="63"/>
  <c r="C14" i="63"/>
  <c r="C19" i="63"/>
  <c r="C18" i="63"/>
  <c r="C17" i="63"/>
  <c r="B14" i="63"/>
  <c r="B19" i="63"/>
  <c r="B18" i="63"/>
  <c r="B17" i="63"/>
  <c r="F30" i="112"/>
  <c r="F139" i="112"/>
  <c r="G138" i="112"/>
  <c r="F137" i="112"/>
  <c r="F125" i="112"/>
  <c r="G113" i="112"/>
  <c r="F103" i="112"/>
  <c r="F102" i="112"/>
  <c r="F70" i="112"/>
  <c r="G60" i="112"/>
  <c r="G59" i="112"/>
  <c r="G58" i="112"/>
  <c r="E57" i="112"/>
  <c r="G57" i="112" s="1"/>
  <c r="E56" i="112"/>
  <c r="G56" i="112" s="1"/>
  <c r="G55" i="112"/>
  <c r="G54" i="112"/>
  <c r="F53" i="112"/>
  <c r="F52" i="112"/>
  <c r="F50" i="112"/>
  <c r="F38" i="112"/>
  <c r="G32" i="112"/>
  <c r="G29" i="112"/>
  <c r="G27" i="112"/>
  <c r="F30" i="111"/>
  <c r="F139" i="111"/>
  <c r="G138" i="111"/>
  <c r="F137" i="111"/>
  <c r="F125" i="111"/>
  <c r="G113" i="111"/>
  <c r="F103" i="111"/>
  <c r="F102" i="111"/>
  <c r="F70" i="111"/>
  <c r="G60" i="111"/>
  <c r="G59" i="111"/>
  <c r="G58" i="111"/>
  <c r="E57" i="111"/>
  <c r="G57" i="111" s="1"/>
  <c r="E56" i="111"/>
  <c r="G56" i="111" s="1"/>
  <c r="G55" i="111"/>
  <c r="G54" i="111"/>
  <c r="F53" i="111"/>
  <c r="F52" i="111"/>
  <c r="F50" i="111"/>
  <c r="F38" i="111"/>
  <c r="G32" i="111"/>
  <c r="G29" i="111"/>
  <c r="G27" i="111"/>
  <c r="G28" i="111" s="1"/>
  <c r="G32" i="99"/>
  <c r="G32" i="73"/>
  <c r="G32" i="81"/>
  <c r="G32" i="83"/>
  <c r="G32" i="75"/>
  <c r="G32" i="85"/>
  <c r="G32" i="109"/>
  <c r="G32" i="110"/>
  <c r="F30" i="110"/>
  <c r="F139" i="110"/>
  <c r="G138" i="110"/>
  <c r="F137" i="110"/>
  <c r="F125" i="110"/>
  <c r="G113" i="110"/>
  <c r="F103" i="110"/>
  <c r="F102" i="110"/>
  <c r="F84" i="110"/>
  <c r="F100" i="110" s="1"/>
  <c r="F70" i="110"/>
  <c r="G60" i="110"/>
  <c r="G59" i="110"/>
  <c r="G58" i="110"/>
  <c r="E57" i="110"/>
  <c r="G57" i="110" s="1"/>
  <c r="E56" i="110"/>
  <c r="G56" i="110" s="1"/>
  <c r="G55" i="110"/>
  <c r="G54" i="110"/>
  <c r="F53" i="110"/>
  <c r="F52" i="110"/>
  <c r="F50" i="110"/>
  <c r="F38" i="110"/>
  <c r="G29" i="110"/>
  <c r="G27" i="110"/>
  <c r="G28" i="110" s="1"/>
  <c r="F139" i="109"/>
  <c r="G138" i="109"/>
  <c r="F137" i="109"/>
  <c r="F125" i="109"/>
  <c r="G113" i="109"/>
  <c r="F103" i="109"/>
  <c r="F102" i="109"/>
  <c r="F84" i="109"/>
  <c r="F100" i="109" s="1"/>
  <c r="F70" i="109"/>
  <c r="G60" i="109"/>
  <c r="G59" i="109"/>
  <c r="G58" i="109"/>
  <c r="E57" i="109"/>
  <c r="G57" i="109" s="1"/>
  <c r="E56" i="109"/>
  <c r="G56" i="109" s="1"/>
  <c r="G55" i="109"/>
  <c r="G54" i="109"/>
  <c r="F53" i="109"/>
  <c r="F52" i="109"/>
  <c r="F50" i="109"/>
  <c r="F38" i="109"/>
  <c r="G29" i="109"/>
  <c r="G27" i="109"/>
  <c r="G52" i="109" s="1"/>
  <c r="F30" i="81"/>
  <c r="F30" i="83"/>
  <c r="F30" i="75"/>
  <c r="F31" i="75" s="1"/>
  <c r="F30" i="85"/>
  <c r="F30" i="73"/>
  <c r="F30" i="99"/>
  <c r="F31" i="99" s="1"/>
  <c r="F39" i="109" l="1"/>
  <c r="F40" i="109" s="1"/>
  <c r="F63" i="109" s="1"/>
  <c r="F39" i="110"/>
  <c r="G31" i="111"/>
  <c r="G31" i="110"/>
  <c r="F20" i="63"/>
  <c r="F84" i="111"/>
  <c r="F100" i="111" s="1"/>
  <c r="G31" i="109"/>
  <c r="G28" i="112"/>
  <c r="G30" i="112" s="1"/>
  <c r="G31" i="112"/>
  <c r="G52" i="111"/>
  <c r="G52" i="110"/>
  <c r="G53" i="109"/>
  <c r="G30" i="110"/>
  <c r="G52" i="112"/>
  <c r="F73" i="109"/>
  <c r="F75" i="109" s="1"/>
  <c r="G53" i="110"/>
  <c r="F73" i="110"/>
  <c r="F75" i="110" s="1"/>
  <c r="G53" i="111"/>
  <c r="F73" i="111"/>
  <c r="F75" i="111" s="1"/>
  <c r="G53" i="112"/>
  <c r="F73" i="112"/>
  <c r="F75" i="112" s="1"/>
  <c r="F87" i="111"/>
  <c r="F84" i="112"/>
  <c r="F100" i="112" s="1"/>
  <c r="F87" i="112"/>
  <c r="F88" i="109"/>
  <c r="G15" i="63"/>
  <c r="G14" i="63"/>
  <c r="G19" i="63"/>
  <c r="G18" i="63"/>
  <c r="G17" i="63"/>
  <c r="F39" i="112"/>
  <c r="F40" i="112" s="1"/>
  <c r="F63" i="112" s="1"/>
  <c r="F88" i="112"/>
  <c r="F64" i="112"/>
  <c r="F39" i="111"/>
  <c r="F40" i="111" s="1"/>
  <c r="F63" i="111" s="1"/>
  <c r="G30" i="111"/>
  <c r="G33" i="111" s="1"/>
  <c r="F88" i="111"/>
  <c r="F64" i="111"/>
  <c r="F40" i="110"/>
  <c r="F63" i="110" s="1"/>
  <c r="F88" i="110"/>
  <c r="F64" i="110"/>
  <c r="F87" i="110"/>
  <c r="G61" i="109"/>
  <c r="G65" i="109" s="1"/>
  <c r="F64" i="109"/>
  <c r="G28" i="109"/>
  <c r="F87" i="109"/>
  <c r="G20" i="63" l="1"/>
  <c r="E43" i="133" s="1"/>
  <c r="G61" i="111"/>
  <c r="G65" i="111" s="1"/>
  <c r="F90" i="111"/>
  <c r="F101" i="111" s="1"/>
  <c r="F90" i="109"/>
  <c r="F101" i="109" s="1"/>
  <c r="F90" i="112"/>
  <c r="F101" i="112" s="1"/>
  <c r="G61" i="110"/>
  <c r="G65" i="110" s="1"/>
  <c r="G61" i="112"/>
  <c r="G65" i="112" s="1"/>
  <c r="G33" i="110"/>
  <c r="G87" i="110" s="1"/>
  <c r="G33" i="112"/>
  <c r="G45" i="112" s="1"/>
  <c r="F90" i="110"/>
  <c r="F101" i="110" s="1"/>
  <c r="G30" i="109"/>
  <c r="G33" i="109" s="1"/>
  <c r="G78" i="109" s="1"/>
  <c r="G103" i="112"/>
  <c r="G102" i="112"/>
  <c r="G103" i="111"/>
  <c r="G102" i="111"/>
  <c r="G89" i="111"/>
  <c r="G82" i="111"/>
  <c r="H75" i="111"/>
  <c r="G73" i="111"/>
  <c r="G71" i="111"/>
  <c r="G69" i="111"/>
  <c r="G49" i="111"/>
  <c r="G45" i="111"/>
  <c r="H40" i="111"/>
  <c r="G36" i="111"/>
  <c r="G37" i="111"/>
  <c r="G127" i="111"/>
  <c r="G87" i="111"/>
  <c r="H84" i="111"/>
  <c r="G80" i="111"/>
  <c r="G78" i="111"/>
  <c r="G74" i="111"/>
  <c r="G46" i="111"/>
  <c r="G42" i="111"/>
  <c r="G39" i="111"/>
  <c r="H94" i="111"/>
  <c r="H90" i="111"/>
  <c r="G88" i="111"/>
  <c r="G86" i="111"/>
  <c r="G81" i="111"/>
  <c r="G79" i="111"/>
  <c r="H50" i="111"/>
  <c r="G48" i="111"/>
  <c r="G44" i="111"/>
  <c r="G83" i="111"/>
  <c r="G72" i="111"/>
  <c r="G70" i="111"/>
  <c r="G47" i="111"/>
  <c r="G43" i="111"/>
  <c r="H98" i="111" s="1"/>
  <c r="G78" i="110"/>
  <c r="G42" i="110"/>
  <c r="G103" i="110"/>
  <c r="G102" i="110"/>
  <c r="G89" i="110"/>
  <c r="G82" i="110"/>
  <c r="H75" i="110"/>
  <c r="G73" i="110"/>
  <c r="G71" i="110"/>
  <c r="G69" i="110"/>
  <c r="G49" i="110"/>
  <c r="G45" i="110"/>
  <c r="H40" i="110"/>
  <c r="G36" i="110"/>
  <c r="H94" i="110"/>
  <c r="G88" i="110"/>
  <c r="G86" i="110"/>
  <c r="G81" i="110"/>
  <c r="G79" i="110"/>
  <c r="H50" i="110"/>
  <c r="G48" i="110"/>
  <c r="G44" i="110"/>
  <c r="G127" i="110"/>
  <c r="G83" i="110"/>
  <c r="G72" i="110"/>
  <c r="G70" i="110"/>
  <c r="G47" i="110"/>
  <c r="G43" i="110"/>
  <c r="H98" i="110" s="1"/>
  <c r="G37" i="110"/>
  <c r="H90" i="110" l="1"/>
  <c r="G39" i="110"/>
  <c r="G40" i="110" s="1"/>
  <c r="G63" i="110" s="1"/>
  <c r="G46" i="110"/>
  <c r="G50" i="110" s="1"/>
  <c r="G64" i="110" s="1"/>
  <c r="G74" i="110"/>
  <c r="G75" i="110" s="1"/>
  <c r="G129" i="110" s="1"/>
  <c r="G80" i="110"/>
  <c r="H84" i="110"/>
  <c r="G72" i="112"/>
  <c r="G71" i="112"/>
  <c r="G70" i="112"/>
  <c r="G83" i="112"/>
  <c r="H50" i="112"/>
  <c r="G79" i="112"/>
  <c r="G78" i="112"/>
  <c r="G37" i="112"/>
  <c r="G47" i="112"/>
  <c r="G44" i="112"/>
  <c r="H94" i="112"/>
  <c r="G49" i="112"/>
  <c r="G48" i="112"/>
  <c r="G74" i="112"/>
  <c r="G69" i="112"/>
  <c r="H84" i="112"/>
  <c r="G73" i="112"/>
  <c r="G39" i="112"/>
  <c r="G81" i="112"/>
  <c r="G127" i="112"/>
  <c r="H75" i="112"/>
  <c r="G87" i="112"/>
  <c r="G42" i="112"/>
  <c r="G86" i="112"/>
  <c r="G36" i="112"/>
  <c r="G82" i="112"/>
  <c r="G46" i="112"/>
  <c r="G88" i="112"/>
  <c r="H40" i="112"/>
  <c r="G89" i="112"/>
  <c r="G43" i="112"/>
  <c r="H98" i="112" s="1"/>
  <c r="G80" i="112"/>
  <c r="H90" i="112"/>
  <c r="G40" i="111"/>
  <c r="G63" i="111" s="1"/>
  <c r="G75" i="111"/>
  <c r="G129" i="111" s="1"/>
  <c r="G44" i="109"/>
  <c r="G49" i="109"/>
  <c r="G81" i="109"/>
  <c r="H75" i="109"/>
  <c r="G83" i="109"/>
  <c r="H94" i="109"/>
  <c r="G103" i="109"/>
  <c r="G42" i="109"/>
  <c r="G80" i="109"/>
  <c r="G86" i="109"/>
  <c r="G36" i="109"/>
  <c r="G37" i="109"/>
  <c r="H84" i="109"/>
  <c r="H50" i="109"/>
  <c r="G88" i="109"/>
  <c r="G72" i="109"/>
  <c r="H40" i="109"/>
  <c r="G71" i="109"/>
  <c r="G89" i="109"/>
  <c r="G47" i="109"/>
  <c r="G74" i="109"/>
  <c r="G87" i="109"/>
  <c r="G48" i="109"/>
  <c r="G43" i="109"/>
  <c r="H98" i="109" s="1"/>
  <c r="G69" i="109"/>
  <c r="G82" i="109"/>
  <c r="G46" i="109"/>
  <c r="G70" i="109"/>
  <c r="G79" i="109"/>
  <c r="H90" i="109"/>
  <c r="G127" i="109"/>
  <c r="G45" i="109"/>
  <c r="G73" i="109"/>
  <c r="G102" i="109"/>
  <c r="G39" i="109"/>
  <c r="G90" i="111"/>
  <c r="G101" i="111" s="1"/>
  <c r="G84" i="111"/>
  <c r="G100" i="111" s="1"/>
  <c r="G50" i="111"/>
  <c r="G64" i="111" s="1"/>
  <c r="G90" i="110"/>
  <c r="G101" i="110" s="1"/>
  <c r="G84" i="110"/>
  <c r="G100" i="110" s="1"/>
  <c r="G90" i="112" l="1"/>
  <c r="G101" i="112" s="1"/>
  <c r="G40" i="112"/>
  <c r="G63" i="112" s="1"/>
  <c r="G75" i="112"/>
  <c r="G129" i="112" s="1"/>
  <c r="G50" i="112"/>
  <c r="G64" i="112" s="1"/>
  <c r="G84" i="112"/>
  <c r="G100" i="112" s="1"/>
  <c r="G66" i="111"/>
  <c r="G128" i="111" s="1"/>
  <c r="G75" i="109"/>
  <c r="G129" i="109" s="1"/>
  <c r="G84" i="109"/>
  <c r="G100" i="109" s="1"/>
  <c r="G90" i="109"/>
  <c r="G101" i="109" s="1"/>
  <c r="G40" i="109"/>
  <c r="G63" i="109" s="1"/>
  <c r="G50" i="109"/>
  <c r="G64" i="109" s="1"/>
  <c r="G104" i="111"/>
  <c r="G130" i="111" s="1"/>
  <c r="G66" i="110"/>
  <c r="G128" i="110" s="1"/>
  <c r="G104" i="110"/>
  <c r="G130" i="110" s="1"/>
  <c r="G104" i="112" l="1"/>
  <c r="G130" i="112" s="1"/>
  <c r="G66" i="112"/>
  <c r="G128" i="112" s="1"/>
  <c r="G104" i="109"/>
  <c r="G130" i="109" s="1"/>
  <c r="G66" i="109"/>
  <c r="G128" i="109" s="1"/>
  <c r="F139" i="85" l="1"/>
  <c r="G138" i="85"/>
  <c r="F137" i="85"/>
  <c r="F125" i="85"/>
  <c r="G113" i="85"/>
  <c r="G109" i="85"/>
  <c r="F103" i="85"/>
  <c r="F102" i="85"/>
  <c r="F70" i="85"/>
  <c r="G60" i="85"/>
  <c r="G59" i="85"/>
  <c r="G58" i="85"/>
  <c r="E57" i="85"/>
  <c r="G57" i="85" s="1"/>
  <c r="E56" i="85"/>
  <c r="G56" i="85" s="1"/>
  <c r="G55" i="85"/>
  <c r="G54" i="85"/>
  <c r="G53" i="85"/>
  <c r="F53" i="85"/>
  <c r="F52" i="85"/>
  <c r="F50" i="85"/>
  <c r="F87" i="85" s="1"/>
  <c r="F38" i="85"/>
  <c r="G29" i="85"/>
  <c r="G27" i="85"/>
  <c r="F139" i="75"/>
  <c r="G138" i="75"/>
  <c r="F137" i="75"/>
  <c r="F125" i="75"/>
  <c r="G113" i="75"/>
  <c r="G109" i="75"/>
  <c r="F103" i="75"/>
  <c r="F102" i="75"/>
  <c r="F70" i="75"/>
  <c r="G60" i="75"/>
  <c r="G59" i="75"/>
  <c r="G58" i="75"/>
  <c r="E57" i="75"/>
  <c r="G57" i="75" s="1"/>
  <c r="E56" i="75"/>
  <c r="G56" i="75" s="1"/>
  <c r="G55" i="75"/>
  <c r="G54" i="75"/>
  <c r="F53" i="75"/>
  <c r="G53" i="75"/>
  <c r="F52" i="75"/>
  <c r="F50" i="75"/>
  <c r="F38" i="75"/>
  <c r="G29" i="75"/>
  <c r="G27" i="75"/>
  <c r="G31" i="75" s="1"/>
  <c r="F139" i="83"/>
  <c r="G138" i="83"/>
  <c r="F137" i="83"/>
  <c r="F125" i="83"/>
  <c r="G113" i="83"/>
  <c r="G109" i="83"/>
  <c r="F102" i="83"/>
  <c r="F103" i="83"/>
  <c r="F70" i="83"/>
  <c r="G60" i="83"/>
  <c r="G59" i="83"/>
  <c r="G58" i="83"/>
  <c r="E57" i="83"/>
  <c r="G57" i="83" s="1"/>
  <c r="E56" i="83"/>
  <c r="G56" i="83" s="1"/>
  <c r="G55" i="83"/>
  <c r="G54" i="83"/>
  <c r="F53" i="83"/>
  <c r="F52" i="83"/>
  <c r="F50" i="83"/>
  <c r="F64" i="83" s="1"/>
  <c r="F38" i="83"/>
  <c r="G29" i="83"/>
  <c r="G27" i="83"/>
  <c r="F139" i="81"/>
  <c r="G138" i="81"/>
  <c r="F137" i="81"/>
  <c r="F125" i="81"/>
  <c r="G113" i="81"/>
  <c r="G109" i="81"/>
  <c r="F103" i="81"/>
  <c r="F102" i="81"/>
  <c r="F70" i="81"/>
  <c r="G60" i="81"/>
  <c r="G59" i="81"/>
  <c r="G58" i="81"/>
  <c r="E57" i="81"/>
  <c r="G57" i="81" s="1"/>
  <c r="E56" i="81"/>
  <c r="G56" i="81" s="1"/>
  <c r="G55" i="81"/>
  <c r="G54" i="81"/>
  <c r="F53" i="81"/>
  <c r="F52" i="81"/>
  <c r="F50" i="81"/>
  <c r="F88" i="81" s="1"/>
  <c r="F38" i="81"/>
  <c r="G29" i="81"/>
  <c r="G27" i="81"/>
  <c r="G31" i="81" s="1"/>
  <c r="F139" i="73"/>
  <c r="G138" i="73"/>
  <c r="F137" i="73"/>
  <c r="F125" i="73"/>
  <c r="G113" i="73"/>
  <c r="G109" i="73"/>
  <c r="F103" i="73"/>
  <c r="F102" i="73"/>
  <c r="F70" i="73"/>
  <c r="G60" i="73"/>
  <c r="G59" i="73"/>
  <c r="G58" i="73"/>
  <c r="E57" i="73"/>
  <c r="G57" i="73" s="1"/>
  <c r="E56" i="73"/>
  <c r="G56" i="73" s="1"/>
  <c r="G55" i="73"/>
  <c r="G54" i="73"/>
  <c r="F53" i="73"/>
  <c r="F52" i="73"/>
  <c r="F50" i="73"/>
  <c r="F38" i="73"/>
  <c r="G29" i="73"/>
  <c r="G27" i="73"/>
  <c r="G31" i="73" s="1"/>
  <c r="G113" i="99"/>
  <c r="F53" i="99"/>
  <c r="F52" i="99"/>
  <c r="E57" i="99"/>
  <c r="E56" i="99"/>
  <c r="F88" i="83" l="1"/>
  <c r="F73" i="83"/>
  <c r="F75" i="83" s="1"/>
  <c r="G28" i="83"/>
  <c r="G30" i="83" s="1"/>
  <c r="G31" i="83"/>
  <c r="G28" i="85"/>
  <c r="G30" i="85" s="1"/>
  <c r="G31" i="85"/>
  <c r="F87" i="73"/>
  <c r="F73" i="81"/>
  <c r="F75" i="81" s="1"/>
  <c r="F87" i="75"/>
  <c r="G52" i="83"/>
  <c r="G28" i="73"/>
  <c r="G53" i="81"/>
  <c r="G53" i="83"/>
  <c r="F84" i="83"/>
  <c r="F100" i="83" s="1"/>
  <c r="F73" i="75"/>
  <c r="F75" i="75" s="1"/>
  <c r="G52" i="85"/>
  <c r="G61" i="85" s="1"/>
  <c r="G65" i="85" s="1"/>
  <c r="F84" i="85"/>
  <c r="F100" i="85" s="1"/>
  <c r="F73" i="73"/>
  <c r="F84" i="73"/>
  <c r="F100" i="73" s="1"/>
  <c r="G52" i="75"/>
  <c r="G61" i="75" s="1"/>
  <c r="G65" i="75" s="1"/>
  <c r="G53" i="73"/>
  <c r="F84" i="81"/>
  <c r="F100" i="81" s="1"/>
  <c r="G28" i="75"/>
  <c r="F84" i="75"/>
  <c r="F100" i="75" s="1"/>
  <c r="G52" i="81"/>
  <c r="G61" i="81" s="1"/>
  <c r="G65" i="81" s="1"/>
  <c r="F73" i="85"/>
  <c r="F75" i="85" s="1"/>
  <c r="F39" i="85"/>
  <c r="F40" i="85" s="1"/>
  <c r="F63" i="85" s="1"/>
  <c r="F88" i="85"/>
  <c r="F90" i="85" s="1"/>
  <c r="F101" i="85" s="1"/>
  <c r="F64" i="85"/>
  <c r="F88" i="75"/>
  <c r="F64" i="75"/>
  <c r="F39" i="75"/>
  <c r="F40" i="75" s="1"/>
  <c r="F39" i="83"/>
  <c r="F40" i="83" s="1"/>
  <c r="F63" i="83" s="1"/>
  <c r="F87" i="83"/>
  <c r="F39" i="81"/>
  <c r="F40" i="81" s="1"/>
  <c r="F63" i="81" s="1"/>
  <c r="F64" i="81"/>
  <c r="G28" i="81"/>
  <c r="G30" i="81" s="1"/>
  <c r="F87" i="81"/>
  <c r="F90" i="81" s="1"/>
  <c r="F101" i="81" s="1"/>
  <c r="F75" i="73"/>
  <c r="G52" i="73"/>
  <c r="F88" i="73"/>
  <c r="F64" i="73"/>
  <c r="F39" i="73"/>
  <c r="F40" i="73" s="1"/>
  <c r="F63" i="73" s="1"/>
  <c r="F90" i="83" l="1"/>
  <c r="F101" i="83" s="1"/>
  <c r="F90" i="73"/>
  <c r="F101" i="73" s="1"/>
  <c r="G61" i="83"/>
  <c r="G65" i="83" s="1"/>
  <c r="G61" i="73"/>
  <c r="G65" i="73" s="1"/>
  <c r="G30" i="73"/>
  <c r="G33" i="73" s="1"/>
  <c r="G33" i="83"/>
  <c r="G33" i="85"/>
  <c r="G33" i="81"/>
  <c r="G30" i="75"/>
  <c r="G33" i="75" s="1"/>
  <c r="F63" i="75"/>
  <c r="F90" i="75"/>
  <c r="E6" i="63"/>
  <c r="E12" i="63"/>
  <c r="E11" i="63"/>
  <c r="E10" i="63"/>
  <c r="E7" i="63"/>
  <c r="F101" i="75" l="1"/>
  <c r="G7" i="63"/>
  <c r="D6" i="63" l="1"/>
  <c r="D12" i="63"/>
  <c r="D11" i="63"/>
  <c r="D10" i="63"/>
  <c r="D7" i="63"/>
  <c r="C6" i="63"/>
  <c r="C12" i="63"/>
  <c r="C11" i="63"/>
  <c r="C10" i="63"/>
  <c r="C7" i="63"/>
  <c r="B6" i="63"/>
  <c r="B12" i="63"/>
  <c r="B11" i="63"/>
  <c r="B10" i="63"/>
  <c r="B7" i="63"/>
  <c r="G29" i="99" l="1"/>
  <c r="G138" i="99"/>
  <c r="F70" i="99" l="1"/>
  <c r="F50" i="99"/>
  <c r="F88" i="99" s="1"/>
  <c r="F73" i="99" l="1"/>
  <c r="F75" i="99" s="1"/>
  <c r="F87" i="99"/>
  <c r="F90" i="99" s="1"/>
  <c r="G109" i="99"/>
  <c r="F137" i="99" l="1"/>
  <c r="F103" i="99" l="1"/>
  <c r="F84" i="99" l="1"/>
  <c r="F38" i="99"/>
  <c r="F39" i="99" s="1"/>
  <c r="F40" i="99" s="1"/>
  <c r="F6" i="63" l="1"/>
  <c r="F12" i="63"/>
  <c r="F11" i="63"/>
  <c r="G11" i="63" s="1"/>
  <c r="F10" i="63"/>
  <c r="G6" i="63" l="1"/>
  <c r="F13" i="63"/>
  <c r="F28" i="63" s="1"/>
  <c r="G10" i="63"/>
  <c r="G12" i="63"/>
  <c r="G8" i="63"/>
  <c r="E75" i="133" s="1"/>
  <c r="G57" i="99"/>
  <c r="G56" i="99"/>
  <c r="F139" i="99"/>
  <c r="F100" i="99"/>
  <c r="G55" i="99"/>
  <c r="G54" i="99"/>
  <c r="G27" i="99"/>
  <c r="G31" i="99" s="1"/>
  <c r="G13" i="63" l="1"/>
  <c r="G28" i="63" s="1"/>
  <c r="E109" i="110"/>
  <c r="E109" i="111"/>
  <c r="G109" i="111" s="1"/>
  <c r="E109" i="112"/>
  <c r="G109" i="112" s="1"/>
  <c r="E109" i="130"/>
  <c r="G109" i="130" s="1"/>
  <c r="E109" i="109"/>
  <c r="E109" i="120"/>
  <c r="G109" i="120" s="1"/>
  <c r="G108" i="111"/>
  <c r="G108" i="112"/>
  <c r="G108" i="85"/>
  <c r="G108" i="75"/>
  <c r="F21" i="63"/>
  <c r="F26" i="63" s="1"/>
  <c r="G53" i="99"/>
  <c r="F125" i="99"/>
  <c r="G60" i="99"/>
  <c r="F101" i="99"/>
  <c r="G28" i="99"/>
  <c r="G52" i="99"/>
  <c r="F64" i="99"/>
  <c r="E112" i="130" l="1"/>
  <c r="G112" i="130" s="1"/>
  <c r="E112" i="129"/>
  <c r="G112" i="129" s="1"/>
  <c r="E112" i="120"/>
  <c r="G112" i="120" s="1"/>
  <c r="E112" i="73"/>
  <c r="G112" i="73" s="1"/>
  <c r="G21" i="63"/>
  <c r="G26" i="63" s="1"/>
  <c r="G109" i="109"/>
  <c r="G109" i="110"/>
  <c r="G58" i="99"/>
  <c r="G59" i="99"/>
  <c r="F102" i="99"/>
  <c r="F63" i="99"/>
  <c r="E37" i="133" l="1"/>
  <c r="E108" i="99" s="1"/>
  <c r="G108" i="99" s="1"/>
  <c r="E12" i="133"/>
  <c r="E49" i="133"/>
  <c r="E27" i="133"/>
  <c r="G61" i="99"/>
  <c r="G65" i="99" s="1"/>
  <c r="E107" i="136" l="1"/>
  <c r="G107" i="136" s="1"/>
  <c r="E107" i="135"/>
  <c r="G107" i="135" s="1"/>
  <c r="E110" i="136"/>
  <c r="G110" i="136" s="1"/>
  <c r="E110" i="135"/>
  <c r="G110" i="135" s="1"/>
  <c r="E106" i="135"/>
  <c r="G106" i="135" s="1"/>
  <c r="E106" i="136"/>
  <c r="G106" i="136" s="1"/>
  <c r="E110" i="85"/>
  <c r="G110" i="85" s="1"/>
  <c r="E110" i="99"/>
  <c r="G110" i="99" s="1"/>
  <c r="E110" i="81"/>
  <c r="G110" i="81" s="1"/>
  <c r="E110" i="120"/>
  <c r="G110" i="120" s="1"/>
  <c r="E110" i="109"/>
  <c r="G110" i="109" s="1"/>
  <c r="E110" i="73"/>
  <c r="G110" i="73" s="1"/>
  <c r="E110" i="130"/>
  <c r="G110" i="130" s="1"/>
  <c r="E110" i="75"/>
  <c r="G110" i="75" s="1"/>
  <c r="E110" i="129"/>
  <c r="G110" i="129" s="1"/>
  <c r="E110" i="110"/>
  <c r="G110" i="110" s="1"/>
  <c r="E110" i="83"/>
  <c r="G110" i="83" s="1"/>
  <c r="E110" i="111"/>
  <c r="G110" i="111" s="1"/>
  <c r="E110" i="112"/>
  <c r="G110" i="112" s="1"/>
  <c r="E108" i="130"/>
  <c r="G108" i="130" s="1"/>
  <c r="E108" i="129"/>
  <c r="G108" i="129" s="1"/>
  <c r="E108" i="110"/>
  <c r="G108" i="110" s="1"/>
  <c r="E108" i="73"/>
  <c r="G108" i="73" s="1"/>
  <c r="E108" i="81"/>
  <c r="G108" i="81" s="1"/>
  <c r="E108" i="83"/>
  <c r="G108" i="83" s="1"/>
  <c r="E108" i="120"/>
  <c r="G108" i="120" s="1"/>
  <c r="E108" i="109"/>
  <c r="G108" i="109" s="1"/>
  <c r="E107" i="81"/>
  <c r="G107" i="81" s="1"/>
  <c r="E107" i="120"/>
  <c r="G107" i="120" s="1"/>
  <c r="E107" i="73"/>
  <c r="G107" i="73" s="1"/>
  <c r="E107" i="130"/>
  <c r="G107" i="130" s="1"/>
  <c r="E107" i="129"/>
  <c r="G107" i="129" s="1"/>
  <c r="E107" i="110"/>
  <c r="G107" i="110" s="1"/>
  <c r="E107" i="83"/>
  <c r="G107" i="83" s="1"/>
  <c r="E107" i="111"/>
  <c r="G107" i="111" s="1"/>
  <c r="E107" i="75"/>
  <c r="G107" i="75" s="1"/>
  <c r="E107" i="112"/>
  <c r="G107" i="112" s="1"/>
  <c r="E107" i="85"/>
  <c r="G107" i="85" s="1"/>
  <c r="E107" i="99"/>
  <c r="G107" i="99" s="1"/>
  <c r="E107" i="109"/>
  <c r="G107" i="109" s="1"/>
  <c r="E106" i="129"/>
  <c r="G106" i="129" s="1"/>
  <c r="E106" i="110"/>
  <c r="G106" i="110" s="1"/>
  <c r="E106" i="130"/>
  <c r="G106" i="130" s="1"/>
  <c r="E106" i="83"/>
  <c r="G106" i="83" s="1"/>
  <c r="E106" i="111"/>
  <c r="G106" i="111" s="1"/>
  <c r="E106" i="75"/>
  <c r="G106" i="75" s="1"/>
  <c r="E106" i="112"/>
  <c r="G106" i="112" s="1"/>
  <c r="E106" i="73"/>
  <c r="G106" i="73" s="1"/>
  <c r="E106" i="85"/>
  <c r="G106" i="85" s="1"/>
  <c r="E106" i="99"/>
  <c r="G106" i="99" s="1"/>
  <c r="E106" i="109"/>
  <c r="G106" i="109" s="1"/>
  <c r="E106" i="81"/>
  <c r="G106" i="81" s="1"/>
  <c r="E106" i="120"/>
  <c r="G106" i="120" s="1"/>
  <c r="G114" i="136" l="1"/>
  <c r="G131" i="136" s="1"/>
  <c r="G132" i="136" s="1"/>
  <c r="G117" i="136" s="1"/>
  <c r="G118" i="136" s="1"/>
  <c r="G114" i="135"/>
  <c r="G131" i="135" s="1"/>
  <c r="G132" i="135" s="1"/>
  <c r="G117" i="135" s="1"/>
  <c r="G118" i="135" s="1"/>
  <c r="G114" i="110"/>
  <c r="G131" i="110" s="1"/>
  <c r="G132" i="110" s="1"/>
  <c r="G117" i="110" s="1"/>
  <c r="G118" i="110" s="1"/>
  <c r="G114" i="111"/>
  <c r="G131" i="111" s="1"/>
  <c r="G132" i="111" s="1"/>
  <c r="G117" i="111" s="1"/>
  <c r="G118" i="111" s="1"/>
  <c r="G114" i="112"/>
  <c r="G131" i="112" s="1"/>
  <c r="G132" i="112" s="1"/>
  <c r="G117" i="112" s="1"/>
  <c r="G118" i="112" s="1"/>
  <c r="G114" i="120"/>
  <c r="G131" i="120" s="1"/>
  <c r="G132" i="120" s="1"/>
  <c r="G117" i="120" s="1"/>
  <c r="G118" i="120" s="1"/>
  <c r="G114" i="75"/>
  <c r="G131" i="75" s="1"/>
  <c r="G114" i="85"/>
  <c r="G131" i="85" s="1"/>
  <c r="G114" i="73"/>
  <c r="G131" i="73" s="1"/>
  <c r="G114" i="83"/>
  <c r="G131" i="83" s="1"/>
  <c r="G114" i="130"/>
  <c r="G131" i="130" s="1"/>
  <c r="G132" i="130" s="1"/>
  <c r="G117" i="130" s="1"/>
  <c r="G118" i="130" s="1"/>
  <c r="G114" i="109"/>
  <c r="G131" i="109" s="1"/>
  <c r="G132" i="109" s="1"/>
  <c r="G117" i="109" s="1"/>
  <c r="G118" i="109" s="1"/>
  <c r="G114" i="129"/>
  <c r="G131" i="129" s="1"/>
  <c r="G132" i="129" s="1"/>
  <c r="G117" i="129" s="1"/>
  <c r="G118" i="129" s="1"/>
  <c r="G114" i="81"/>
  <c r="G131" i="81" s="1"/>
  <c r="G114" i="99"/>
  <c r="G131" i="99" l="1"/>
  <c r="G37" i="81" l="1"/>
  <c r="G36" i="73"/>
  <c r="G36" i="85"/>
  <c r="H90" i="81" l="1"/>
  <c r="G81" i="81"/>
  <c r="G87" i="81"/>
  <c r="G70" i="81"/>
  <c r="G86" i="73"/>
  <c r="H94" i="73"/>
  <c r="G82" i="73"/>
  <c r="G71" i="73"/>
  <c r="G43" i="73"/>
  <c r="H98" i="73" s="1"/>
  <c r="G127" i="81"/>
  <c r="G89" i="81"/>
  <c r="G79" i="81"/>
  <c r="G46" i="81"/>
  <c r="H40" i="73"/>
  <c r="G127" i="73"/>
  <c r="G73" i="73"/>
  <c r="G47" i="73"/>
  <c r="G102" i="73"/>
  <c r="G80" i="73"/>
  <c r="H50" i="73"/>
  <c r="G74" i="81"/>
  <c r="G44" i="81"/>
  <c r="G103" i="85"/>
  <c r="G88" i="73"/>
  <c r="G78" i="73"/>
  <c r="G49" i="73"/>
  <c r="G39" i="73"/>
  <c r="G103" i="81"/>
  <c r="G83" i="81"/>
  <c r="G72" i="81"/>
  <c r="G42" i="81"/>
  <c r="G79" i="85"/>
  <c r="H90" i="85"/>
  <c r="G74" i="85"/>
  <c r="G127" i="85"/>
  <c r="G83" i="85"/>
  <c r="G48" i="85"/>
  <c r="G87" i="85"/>
  <c r="G70" i="85"/>
  <c r="G69" i="73"/>
  <c r="G45" i="73"/>
  <c r="H84" i="81"/>
  <c r="H75" i="81"/>
  <c r="G48" i="81"/>
  <c r="G37" i="83"/>
  <c r="G42" i="83"/>
  <c r="G46" i="83"/>
  <c r="G72" i="83"/>
  <c r="H75" i="83"/>
  <c r="G81" i="83"/>
  <c r="H84" i="83"/>
  <c r="G89" i="83"/>
  <c r="G39" i="83"/>
  <c r="G43" i="83"/>
  <c r="H98" i="83" s="1"/>
  <c r="G47" i="83"/>
  <c r="H50" i="83"/>
  <c r="G69" i="83"/>
  <c r="G73" i="83"/>
  <c r="G78" i="83"/>
  <c r="G82" i="83"/>
  <c r="G86" i="83"/>
  <c r="H94" i="83"/>
  <c r="G36" i="83"/>
  <c r="G45" i="83"/>
  <c r="G49" i="83"/>
  <c r="G71" i="83"/>
  <c r="G80" i="83"/>
  <c r="G88" i="83"/>
  <c r="G102" i="83"/>
  <c r="G44" i="83"/>
  <c r="G48" i="83"/>
  <c r="G70" i="83"/>
  <c r="G74" i="83"/>
  <c r="G79" i="83"/>
  <c r="G83" i="83"/>
  <c r="G87" i="83"/>
  <c r="H90" i="83"/>
  <c r="G103" i="83"/>
  <c r="G127" i="83"/>
  <c r="H40" i="83"/>
  <c r="G44" i="75"/>
  <c r="G48" i="75"/>
  <c r="G70" i="75"/>
  <c r="G74" i="75"/>
  <c r="G79" i="75"/>
  <c r="G83" i="75"/>
  <c r="G87" i="75"/>
  <c r="H90" i="75"/>
  <c r="G103" i="75"/>
  <c r="G127" i="75"/>
  <c r="G36" i="75"/>
  <c r="H40" i="75"/>
  <c r="G45" i="75"/>
  <c r="G49" i="75"/>
  <c r="G71" i="75"/>
  <c r="G37" i="75"/>
  <c r="G42" i="75"/>
  <c r="G46" i="75"/>
  <c r="G72" i="75"/>
  <c r="H75" i="75"/>
  <c r="G81" i="75"/>
  <c r="H84" i="75"/>
  <c r="G89" i="75"/>
  <c r="H94" i="85"/>
  <c r="G86" i="85"/>
  <c r="G82" i="85"/>
  <c r="G78" i="85"/>
  <c r="G73" i="85"/>
  <c r="G69" i="85"/>
  <c r="H50" i="85"/>
  <c r="G47" i="85"/>
  <c r="G43" i="85"/>
  <c r="H98" i="85" s="1"/>
  <c r="G39" i="85"/>
  <c r="G37" i="73"/>
  <c r="G42" i="73"/>
  <c r="G46" i="73"/>
  <c r="G72" i="73"/>
  <c r="H75" i="73"/>
  <c r="G81" i="73"/>
  <c r="H84" i="73"/>
  <c r="G89" i="73"/>
  <c r="G44" i="73"/>
  <c r="G48" i="73"/>
  <c r="G70" i="73"/>
  <c r="G74" i="73"/>
  <c r="G79" i="73"/>
  <c r="G83" i="73"/>
  <c r="G87" i="73"/>
  <c r="H90" i="73"/>
  <c r="G103" i="73"/>
  <c r="G39" i="81"/>
  <c r="G43" i="81"/>
  <c r="G47" i="81"/>
  <c r="H50" i="81"/>
  <c r="G69" i="81"/>
  <c r="G73" i="81"/>
  <c r="G78" i="81"/>
  <c r="G82" i="81"/>
  <c r="G86" i="81"/>
  <c r="H94" i="81"/>
  <c r="G36" i="81"/>
  <c r="H40" i="81"/>
  <c r="G45" i="81"/>
  <c r="G49" i="81"/>
  <c r="G71" i="81"/>
  <c r="G80" i="81"/>
  <c r="G88" i="81"/>
  <c r="G102" i="81"/>
  <c r="H94" i="75"/>
  <c r="G86" i="75"/>
  <c r="G78" i="75"/>
  <c r="G47" i="75"/>
  <c r="G44" i="85"/>
  <c r="G88" i="75"/>
  <c r="G80" i="75"/>
  <c r="H50" i="75"/>
  <c r="G89" i="85"/>
  <c r="H84" i="85"/>
  <c r="G81" i="85"/>
  <c r="H75" i="85"/>
  <c r="G72" i="85"/>
  <c r="G46" i="85"/>
  <c r="G42" i="85"/>
  <c r="G37" i="85"/>
  <c r="G102" i="75"/>
  <c r="G73" i="75"/>
  <c r="G43" i="75"/>
  <c r="H98" i="75" s="1"/>
  <c r="G102" i="85"/>
  <c r="G88" i="85"/>
  <c r="G80" i="85"/>
  <c r="G71" i="85"/>
  <c r="G49" i="85"/>
  <c r="G45" i="85"/>
  <c r="H40" i="85"/>
  <c r="G82" i="75"/>
  <c r="G69" i="75"/>
  <c r="G39" i="75"/>
  <c r="G40" i="83" l="1"/>
  <c r="G63" i="83" s="1"/>
  <c r="G40" i="85"/>
  <c r="G63" i="85" s="1"/>
  <c r="G40" i="73"/>
  <c r="G63" i="73" s="1"/>
  <c r="G90" i="73"/>
  <c r="G101" i="73" s="1"/>
  <c r="G40" i="81"/>
  <c r="G63" i="81" s="1"/>
  <c r="G84" i="81"/>
  <c r="G100" i="81" s="1"/>
  <c r="G50" i="85"/>
  <c r="G64" i="85" s="1"/>
  <c r="G66" i="85" s="1"/>
  <c r="G128" i="85" s="1"/>
  <c r="G50" i="81"/>
  <c r="G64" i="81" s="1"/>
  <c r="H98" i="81"/>
  <c r="G75" i="73"/>
  <c r="G129" i="73" s="1"/>
  <c r="G75" i="85"/>
  <c r="G129" i="85" s="1"/>
  <c r="G90" i="85"/>
  <c r="G101" i="85" s="1"/>
  <c r="G50" i="75"/>
  <c r="G64" i="75" s="1"/>
  <c r="G90" i="83"/>
  <c r="G101" i="83" s="1"/>
  <c r="G75" i="83"/>
  <c r="G129" i="83" s="1"/>
  <c r="G50" i="83"/>
  <c r="G64" i="83" s="1"/>
  <c r="G84" i="75"/>
  <c r="G100" i="75" s="1"/>
  <c r="G90" i="81"/>
  <c r="G101" i="81" s="1"/>
  <c r="G75" i="81"/>
  <c r="G129" i="81" s="1"/>
  <c r="G50" i="73"/>
  <c r="G64" i="73" s="1"/>
  <c r="G75" i="75"/>
  <c r="G129" i="75" s="1"/>
  <c r="G90" i="75"/>
  <c r="G101" i="75" s="1"/>
  <c r="G84" i="73"/>
  <c r="G100" i="73" s="1"/>
  <c r="G84" i="85"/>
  <c r="G100" i="85" s="1"/>
  <c r="G40" i="75"/>
  <c r="G63" i="75" s="1"/>
  <c r="G84" i="83"/>
  <c r="G100" i="83" s="1"/>
  <c r="G66" i="75" l="1"/>
  <c r="G128" i="75" s="1"/>
  <c r="G66" i="83"/>
  <c r="G128" i="83" s="1"/>
  <c r="G66" i="73"/>
  <c r="G128" i="73" s="1"/>
  <c r="G104" i="73"/>
  <c r="G130" i="73" s="1"/>
  <c r="G104" i="81"/>
  <c r="G130" i="81" s="1"/>
  <c r="G66" i="81"/>
  <c r="G128" i="81" s="1"/>
  <c r="G104" i="83"/>
  <c r="G130" i="83" s="1"/>
  <c r="G104" i="75"/>
  <c r="G130" i="75" s="1"/>
  <c r="G104" i="85"/>
  <c r="G130" i="85" s="1"/>
  <c r="G132" i="75" l="1"/>
  <c r="G117" i="75" s="1"/>
  <c r="G118" i="75" s="1"/>
  <c r="G132" i="83"/>
  <c r="G117" i="83" s="1"/>
  <c r="G118" i="83" s="1"/>
  <c r="G132" i="73"/>
  <c r="G117" i="73" s="1"/>
  <c r="G118" i="73" s="1"/>
  <c r="G132" i="81"/>
  <c r="G117" i="81" s="1"/>
  <c r="G118" i="81" s="1"/>
  <c r="G132" i="85"/>
  <c r="G117" i="85" l="1"/>
  <c r="G118" i="85" l="1"/>
  <c r="G30" i="99"/>
  <c r="G33" i="99" l="1"/>
  <c r="G43" i="99" s="1"/>
  <c r="H98" i="99" s="1"/>
  <c r="G103" i="99"/>
  <c r="G102" i="99"/>
  <c r="G39" i="99" l="1"/>
  <c r="G71" i="99"/>
  <c r="G87" i="99"/>
  <c r="G49" i="99"/>
  <c r="G86" i="99"/>
  <c r="G83" i="99"/>
  <c r="G82" i="99"/>
  <c r="G45" i="99"/>
  <c r="G79" i="99"/>
  <c r="G78" i="99"/>
  <c r="G74" i="99"/>
  <c r="G73" i="99"/>
  <c r="G70" i="99"/>
  <c r="G42" i="99"/>
  <c r="G127" i="99"/>
  <c r="G48" i="99"/>
  <c r="H50" i="99"/>
  <c r="G36" i="99"/>
  <c r="G72" i="99"/>
  <c r="G88" i="99"/>
  <c r="G44" i="99"/>
  <c r="G47" i="99"/>
  <c r="H40" i="99"/>
  <c r="G69" i="99"/>
  <c r="G89" i="99"/>
  <c r="G80" i="99"/>
  <c r="H90" i="99"/>
  <c r="H94" i="99"/>
  <c r="G46" i="99"/>
  <c r="H75" i="99"/>
  <c r="H84" i="99"/>
  <c r="G37" i="99"/>
  <c r="G81" i="99"/>
  <c r="G84" i="99" l="1"/>
  <c r="G100" i="99" s="1"/>
  <c r="G40" i="99"/>
  <c r="G63" i="99" s="1"/>
  <c r="G50" i="99"/>
  <c r="G64" i="99" s="1"/>
  <c r="G90" i="99"/>
  <c r="G101" i="99" s="1"/>
  <c r="G75" i="99"/>
  <c r="G129" i="99" s="1"/>
  <c r="G104" i="99" l="1"/>
  <c r="G130" i="99" s="1"/>
  <c r="G66" i="99"/>
  <c r="G128" i="99" s="1"/>
  <c r="G132" i="99" l="1"/>
  <c r="G117" i="99" l="1"/>
  <c r="G118" i="99" l="1"/>
  <c r="H6" i="63"/>
  <c r="I6" i="63"/>
  <c r="J6" i="63"/>
  <c r="H7" i="63"/>
  <c r="I7" i="63"/>
  <c r="J7" i="63"/>
  <c r="H8" i="63"/>
  <c r="I8" i="63"/>
  <c r="J8" i="63"/>
  <c r="H9" i="63"/>
  <c r="I9" i="63"/>
  <c r="J9" i="63"/>
  <c r="H10" i="63"/>
  <c r="I10" i="63"/>
  <c r="J10" i="63"/>
  <c r="H11" i="63"/>
  <c r="I11" i="63"/>
  <c r="J11" i="63"/>
  <c r="H12" i="63"/>
  <c r="I12" i="63"/>
  <c r="J12" i="63"/>
  <c r="I13" i="63"/>
  <c r="J13" i="63"/>
  <c r="H14" i="63"/>
  <c r="I14" i="63"/>
  <c r="J14" i="63"/>
  <c r="H15" i="63"/>
  <c r="I15" i="63"/>
  <c r="J15" i="63"/>
  <c r="H16" i="63"/>
  <c r="I16" i="63"/>
  <c r="J16" i="63"/>
  <c r="H17" i="63"/>
  <c r="I17" i="63"/>
  <c r="J17" i="63"/>
  <c r="H18" i="63"/>
  <c r="I18" i="63"/>
  <c r="J18" i="63"/>
  <c r="H19" i="63"/>
  <c r="I19" i="63"/>
  <c r="J19" i="63"/>
  <c r="I20" i="63"/>
  <c r="J20" i="63"/>
  <c r="I21" i="63"/>
  <c r="J21" i="63"/>
  <c r="H23" i="63"/>
  <c r="I23" i="63"/>
  <c r="J23" i="63"/>
  <c r="H24" i="63"/>
  <c r="I24" i="63"/>
  <c r="J24" i="63"/>
  <c r="I25" i="63"/>
  <c r="J25" i="63"/>
  <c r="I26" i="63"/>
  <c r="J26" i="63"/>
  <c r="I28" i="63"/>
  <c r="J28" i="63"/>
  <c r="G120" i="75"/>
  <c r="G121" i="75"/>
  <c r="G122" i="75"/>
  <c r="G123" i="75"/>
  <c r="G124" i="75"/>
  <c r="H124" i="75"/>
  <c r="G125" i="75"/>
  <c r="G133" i="75"/>
  <c r="G134" i="75"/>
  <c r="H134" i="75"/>
  <c r="G136" i="75"/>
  <c r="G137" i="75"/>
  <c r="G139" i="75"/>
  <c r="G140" i="75"/>
  <c r="G120" i="111"/>
  <c r="G121" i="111"/>
  <c r="G122" i="111"/>
  <c r="G123" i="111"/>
  <c r="G124" i="111"/>
  <c r="H124" i="111"/>
  <c r="G125" i="111"/>
  <c r="G133" i="111"/>
  <c r="G134" i="111"/>
  <c r="H134" i="111"/>
  <c r="G136" i="111"/>
  <c r="G137" i="111"/>
  <c r="G139" i="111"/>
  <c r="G140" i="111"/>
  <c r="G120" i="81"/>
  <c r="G121" i="81"/>
  <c r="G122" i="81"/>
  <c r="G123" i="81"/>
  <c r="G124" i="81"/>
  <c r="H124" i="81"/>
  <c r="G125" i="81"/>
  <c r="G133" i="81"/>
  <c r="G134" i="81"/>
  <c r="H134" i="81"/>
  <c r="G136" i="81"/>
  <c r="G137" i="81"/>
  <c r="G139" i="81"/>
  <c r="G140" i="81"/>
  <c r="G120" i="99"/>
  <c r="G121" i="99"/>
  <c r="G122" i="99"/>
  <c r="G123" i="99"/>
  <c r="G124" i="99"/>
  <c r="H124" i="99"/>
  <c r="G125" i="99"/>
  <c r="G133" i="99"/>
  <c r="G134" i="99"/>
  <c r="H134" i="99"/>
  <c r="G136" i="99"/>
  <c r="G137" i="99"/>
  <c r="G139" i="99"/>
  <c r="G140" i="99"/>
  <c r="G120" i="129"/>
  <c r="G121" i="129"/>
  <c r="G122" i="129"/>
  <c r="G123" i="129"/>
  <c r="G124" i="129"/>
  <c r="H124" i="129"/>
  <c r="G125" i="129"/>
  <c r="G133" i="129"/>
  <c r="G134" i="129"/>
  <c r="H134" i="129"/>
  <c r="G136" i="129"/>
  <c r="G137" i="129"/>
  <c r="G139" i="129"/>
  <c r="G140" i="129"/>
  <c r="G120" i="73"/>
  <c r="G121" i="73"/>
  <c r="G122" i="73"/>
  <c r="G123" i="73"/>
  <c r="G124" i="73"/>
  <c r="H124" i="73"/>
  <c r="G125" i="73"/>
  <c r="G133" i="73"/>
  <c r="G134" i="73"/>
  <c r="H134" i="73"/>
  <c r="G136" i="73"/>
  <c r="G137" i="73"/>
  <c r="G139" i="73"/>
  <c r="G140" i="73"/>
  <c r="G120" i="85"/>
  <c r="G121" i="85"/>
  <c r="G122" i="85"/>
  <c r="G123" i="85"/>
  <c r="G124" i="85"/>
  <c r="H124" i="85"/>
  <c r="G125" i="85"/>
  <c r="G133" i="85"/>
  <c r="G134" i="85"/>
  <c r="H134" i="85"/>
  <c r="G136" i="85"/>
  <c r="G137" i="85"/>
  <c r="G139" i="85"/>
  <c r="G140" i="85"/>
  <c r="G120" i="83"/>
  <c r="G121" i="83"/>
  <c r="G122" i="83"/>
  <c r="G123" i="83"/>
  <c r="G124" i="83"/>
  <c r="H124" i="83"/>
  <c r="G125" i="83"/>
  <c r="G133" i="83"/>
  <c r="G134" i="83"/>
  <c r="H134" i="83"/>
  <c r="G136" i="83"/>
  <c r="G137" i="83"/>
  <c r="G139" i="83"/>
  <c r="G140" i="83"/>
  <c r="G120" i="109"/>
  <c r="G121" i="109"/>
  <c r="G122" i="109"/>
  <c r="G123" i="109"/>
  <c r="G124" i="109"/>
  <c r="H124" i="109"/>
  <c r="G125" i="109"/>
  <c r="G133" i="109"/>
  <c r="G134" i="109"/>
  <c r="H134" i="109"/>
  <c r="G136" i="109"/>
  <c r="G137" i="109"/>
  <c r="G139" i="109"/>
  <c r="G140" i="109"/>
  <c r="G120" i="130"/>
  <c r="G121" i="130"/>
  <c r="G122" i="130"/>
  <c r="G123" i="130"/>
  <c r="G124" i="130"/>
  <c r="H124" i="130"/>
  <c r="G125" i="130"/>
  <c r="G133" i="130"/>
  <c r="G134" i="130"/>
  <c r="H134" i="130"/>
  <c r="G136" i="130"/>
  <c r="G137" i="130"/>
  <c r="G139" i="130"/>
  <c r="G140" i="130"/>
  <c r="G120" i="120"/>
  <c r="G121" i="120"/>
  <c r="G122" i="120"/>
  <c r="G123" i="120"/>
  <c r="G124" i="120"/>
  <c r="H124" i="120"/>
  <c r="G125" i="120"/>
  <c r="G133" i="120"/>
  <c r="G134" i="120"/>
  <c r="H134" i="120"/>
  <c r="G136" i="120"/>
  <c r="G137" i="120"/>
  <c r="G139" i="120"/>
  <c r="G140" i="120"/>
  <c r="G120" i="112"/>
  <c r="G121" i="112"/>
  <c r="G122" i="112"/>
  <c r="G123" i="112"/>
  <c r="G124" i="112"/>
  <c r="H124" i="112"/>
  <c r="G125" i="112"/>
  <c r="G133" i="112"/>
  <c r="G134" i="112"/>
  <c r="H134" i="112"/>
  <c r="G136" i="112"/>
  <c r="G137" i="112"/>
  <c r="G139" i="112"/>
  <c r="G140" i="112"/>
  <c r="G120" i="110"/>
  <c r="G121" i="110"/>
  <c r="G122" i="110"/>
  <c r="G123" i="110"/>
  <c r="G124" i="110"/>
  <c r="H124" i="110"/>
  <c r="G125" i="110"/>
  <c r="G133" i="110"/>
  <c r="G134" i="110"/>
  <c r="H134" i="110"/>
  <c r="G136" i="110"/>
  <c r="G137" i="110"/>
  <c r="G139" i="110"/>
  <c r="G140" i="110"/>
  <c r="G120" i="135"/>
  <c r="G121" i="135"/>
  <c r="G122" i="135"/>
  <c r="G123" i="135"/>
  <c r="G124" i="135"/>
  <c r="H124" i="135"/>
  <c r="G125" i="135"/>
  <c r="G133" i="135"/>
  <c r="G134" i="135"/>
  <c r="H134" i="135"/>
  <c r="G136" i="135"/>
  <c r="G137" i="135"/>
  <c r="G139" i="135"/>
  <c r="G140" i="135"/>
  <c r="G120" i="136"/>
  <c r="G121" i="136"/>
  <c r="G122" i="136"/>
  <c r="G123" i="136"/>
  <c r="G124" i="136"/>
  <c r="H124" i="136"/>
  <c r="G125" i="136"/>
  <c r="G133" i="136"/>
  <c r="G134" i="136"/>
  <c r="H134" i="136"/>
  <c r="G136" i="136"/>
  <c r="G137" i="136"/>
  <c r="G139" i="136"/>
  <c r="G140" i="136"/>
</calcChain>
</file>

<file path=xl/comments1.xml><?xml version="1.0" encoding="utf-8"?>
<comments xmlns="http://schemas.openxmlformats.org/spreadsheetml/2006/main">
  <authors>
    <author>Rogerio Rodrigues Pontes</author>
  </authors>
  <commentList>
    <comment ref="A17" authorId="0" shapeId="0">
      <text>
        <r>
          <rPr>
            <b/>
            <sz val="9"/>
            <color rgb="FF000000"/>
            <rFont val="Segoe UI"/>
            <family val="2"/>
          </rPr>
          <t>Rogerio Rodrigues Pontes:</t>
        </r>
        <r>
          <rPr>
            <sz val="9"/>
            <color rgb="FF000000"/>
            <rFont val="Segoe UI"/>
            <family val="2"/>
          </rPr>
          <t xml:space="preserve">
Conforme informações da área técnica (Ivan) o sistema já existe a empresa irá fornecer somente os botões</t>
        </r>
      </text>
    </comment>
  </commentList>
</comments>
</file>

<file path=xl/comments2.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4.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7.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8.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1.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4.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5.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6.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<sst xmlns="http://schemas.openxmlformats.org/spreadsheetml/2006/main" count="3531" uniqueCount="372">
  <si>
    <t>Categoria Profissional:</t>
  </si>
  <si>
    <t>Salário Normativo da Categoria Profissional:</t>
  </si>
  <si>
    <t>MODULO 1 - COMPOSIÇÃO DA REMUNERAÇÃO</t>
  </si>
  <si>
    <t>Valor Total</t>
  </si>
  <si>
    <t>VALOR MENSAL PELO TOTAL DE POSTOS DE SERVIÇO</t>
  </si>
  <si>
    <t>VALOR ANUAL PELO TOTAL DE POSTOS DE SERVIÇO</t>
  </si>
  <si>
    <t>I - DISCRIMINAÇÃO DOS SERVIÇOS</t>
  </si>
  <si>
    <t>DADOS COMPLEMENTARES</t>
  </si>
  <si>
    <t>Salário mínimo oficial vigente:</t>
  </si>
  <si>
    <t>Data Base da Categoria:</t>
  </si>
  <si>
    <t>12 MESES</t>
  </si>
  <si>
    <t>Período contratual:</t>
  </si>
  <si>
    <t>Município/UF:</t>
  </si>
  <si>
    <t>ISS</t>
  </si>
  <si>
    <t>POSTO/UNIDADE</t>
  </si>
  <si>
    <t>TOTAL TAXA GLOBAL DE ADMINISTRAÇÃO</t>
  </si>
  <si>
    <t>Valor Mensal dos Postos</t>
  </si>
  <si>
    <t>Valor Anual dos Postos</t>
  </si>
  <si>
    <t>Valor Individual do Posto</t>
  </si>
  <si>
    <t>PLANILHA DE CUSTO E FORMAÇÃO DE PREÇOS</t>
  </si>
  <si>
    <t>Adicional Insalubridade</t>
  </si>
  <si>
    <t>Data de Apresentação da Proposta:</t>
  </si>
  <si>
    <t>SÃO PAULO</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</si>
  <si>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</si>
  <si>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</si>
  <si>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</si>
  <si>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</si>
  <si>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</si>
  <si>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</si>
  <si>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</si>
  <si>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</si>
  <si>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</si>
  <si>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</si>
  <si>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</si>
  <si>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</si>
  <si>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</si>
  <si>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</si>
  <si>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</si>
  <si>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</si>
  <si>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</si>
  <si>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</si>
  <si>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</si>
  <si>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</si>
  <si>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</si>
  <si>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</si>
  <si>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</si>
  <si>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</si>
  <si>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</si>
  <si>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</si>
  <si>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</si>
  <si>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</si>
  <si>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</si>
  <si>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</si>
  <si>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</si>
  <si>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</si>
  <si>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</si>
  <si>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</si>
  <si>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</si>
  <si>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</si>
  <si>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</si>
  <si>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</si>
  <si>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</si>
  <si>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</si>
  <si>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</si>
  <si>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</si>
  <si>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</si>
  <si>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</si>
  <si>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</si>
  <si>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</si>
  <si>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</si>
  <si>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</si>
  <si>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</si>
  <si>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</si>
  <si>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</si>
  <si>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</si>
  <si>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</si>
  <si>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</si>
  <si>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</si>
  <si>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</si>
  <si>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</si>
  <si>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</si>
  <si>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</si>
  <si>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</si>
  <si>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</si>
  <si>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</si>
  <si>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</si>
  <si>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</si>
  <si>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</si>
  <si>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</si>
  <si>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</si>
  <si>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</si>
  <si>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</si>
  <si>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</si>
  <si>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</si>
  <si>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</si>
  <si>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</si>
  <si>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</si>
  <si>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</si>
  <si>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</si>
  <si>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</si>
  <si>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</si>
  <si>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</si>
  <si>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</si>
  <si>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</si>
  <si>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</si>
  <si>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</si>
  <si>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</si>
  <si>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</si>
  <si>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</si>
  <si>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</si>
  <si>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</si>
  <si>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</si>
  <si>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</si>
  <si>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</si>
  <si>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</si>
  <si>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</si>
  <si>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</si>
  <si>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</si>
  <si>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</si>
  <si>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</si>
  <si>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</si>
  <si>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</si>
  <si>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</si>
  <si>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 xml:space="preserve">Salário </t>
  </si>
  <si>
    <t>Adicional Periculosidade</t>
  </si>
  <si>
    <t xml:space="preserve">Ferias e terço  constitucional </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</si>
  <si>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</si>
  <si>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</si>
  <si>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</si>
  <si>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</si>
  <si>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</si>
  <si>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</si>
  <si>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</si>
  <si>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</si>
  <si>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</si>
  <si>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</si>
  <si>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Outros (especificar)</t>
  </si>
  <si>
    <t>Encargos Previdenciários (GPS), FGTS e Outras Contribuições</t>
  </si>
  <si>
    <t>Substituto nas Ausências Legais</t>
  </si>
  <si>
    <t xml:space="preserve">IntrajornadaCobertura de Feriados, Dias Ponte, e outros </t>
  </si>
  <si>
    <t>4.2.1</t>
  </si>
  <si>
    <t>Periodicidade/ meses</t>
  </si>
  <si>
    <t xml:space="preserve">Valor Unitário </t>
  </si>
  <si>
    <t>Quantidade</t>
  </si>
  <si>
    <t>Média Mensal</t>
  </si>
  <si>
    <t>Total de Pessoas</t>
  </si>
  <si>
    <t>Total de Postos</t>
  </si>
  <si>
    <t>Pessoas p/Posto</t>
  </si>
  <si>
    <t>UNIFORMES (USO GERAL)</t>
  </si>
  <si>
    <t>Periodicidade</t>
  </si>
  <si>
    <t>Estimativa</t>
  </si>
  <si>
    <t>Calça Rip Stop</t>
  </si>
  <si>
    <t>Camisa manga curta</t>
  </si>
  <si>
    <t>Cinto de Nylon</t>
  </si>
  <si>
    <t>Bota cano curto, bico de aço</t>
  </si>
  <si>
    <t>Boné ou Quepe com Logotipo da contratada</t>
  </si>
  <si>
    <t>Japona Rip Stop</t>
  </si>
  <si>
    <t>Sobretudo</t>
  </si>
  <si>
    <t>Capa de chuva</t>
  </si>
  <si>
    <t>Botas de chuva</t>
  </si>
  <si>
    <t>Crachá de Identificação</t>
  </si>
  <si>
    <t>Colete Refletivo</t>
  </si>
  <si>
    <t xml:space="preserve">TOTAL MÉDIA MENSAL POR PESSOA  </t>
  </si>
  <si>
    <t>EPI'S E OUTROS ( USO GERAL)</t>
  </si>
  <si>
    <t>Protetor solar</t>
  </si>
  <si>
    <t>Squeeze</t>
  </si>
  <si>
    <t>TOTAL MÉDIA MENSAL</t>
  </si>
  <si>
    <t>EQUIPAMENTOS (USO GERAL)</t>
  </si>
  <si>
    <t xml:space="preserve">Cassetete G de borracha </t>
  </si>
  <si>
    <t>Porta cassetete</t>
  </si>
  <si>
    <t xml:space="preserve">Apito </t>
  </si>
  <si>
    <t>Cordão de apito</t>
  </si>
  <si>
    <t>Cinturão</t>
  </si>
  <si>
    <t>Fiel Retrátil</t>
  </si>
  <si>
    <t>Rádio Comunicador Tipo HT</t>
  </si>
  <si>
    <t>Bateria para Rádio Comunicador Tipo HT</t>
  </si>
  <si>
    <t>Capacete com selo do INMETRO</t>
  </si>
  <si>
    <t>Luva para Motociclista</t>
  </si>
  <si>
    <t>Conjunto de Chuva para Motociclista</t>
  </si>
  <si>
    <t>Cone de sinalização com 75 cm de altura</t>
  </si>
  <si>
    <t>Fita zebrada de filme polietileno 70mm x 200m</t>
  </si>
  <si>
    <t xml:space="preserve">Banqueta semi sentada </t>
  </si>
  <si>
    <t>Ombrelone de estrutura de madeira</t>
  </si>
  <si>
    <t xml:space="preserve">VALOR MENSAL POR PESSOA  </t>
  </si>
  <si>
    <t>EQUIPAMENTOS E EPI'S - POSTOS ARMADOS</t>
  </si>
  <si>
    <t>Periodicidade/ meses  ou Depreciação Anual</t>
  </si>
  <si>
    <t>Revólver calibre 38 - 6 tiros</t>
  </si>
  <si>
    <t>Coldre</t>
  </si>
  <si>
    <t>Baleiro</t>
  </si>
  <si>
    <t xml:space="preserve">Capa do colete balístico </t>
  </si>
  <si>
    <t>TOTAL  MENSAL</t>
  </si>
  <si>
    <t>EQUIPAMENTOS GERAIS - POSTOS NOTURNOS</t>
  </si>
  <si>
    <t>Porta Lanterna</t>
  </si>
  <si>
    <t>VEÍCULOS E OUTROS</t>
  </si>
  <si>
    <t>Depreciação Anual ou Quantidade/ mês</t>
  </si>
  <si>
    <t>Motocicleta "trail" com no mínimo 150 cilindradas</t>
  </si>
  <si>
    <t>Materiais Sob Expensas</t>
  </si>
  <si>
    <t>Sistema Eletrônico de Registro de Ponto Biométrico</t>
  </si>
  <si>
    <t>Cadeira de Escritório</t>
  </si>
  <si>
    <t>Mesa de Escritorio</t>
  </si>
  <si>
    <t>Computador</t>
  </si>
  <si>
    <t>Impressora</t>
  </si>
  <si>
    <t>Armário Roupeiro para vestiário</t>
  </si>
  <si>
    <t>Marmiteiro</t>
  </si>
  <si>
    <t>Mesa para Refeitório</t>
  </si>
  <si>
    <t>Banco para Refeitório</t>
  </si>
  <si>
    <t>Periodicidade/ Meses</t>
  </si>
  <si>
    <t>VIGILÂNCIA</t>
  </si>
  <si>
    <t>5173-30</t>
  </si>
  <si>
    <t>12 HORAS DIURNO</t>
  </si>
  <si>
    <t>Escala 12 x 36</t>
  </si>
  <si>
    <t>Assistencia Médica e Odontologica</t>
  </si>
  <si>
    <t>Auxílio Funeral</t>
  </si>
  <si>
    <t>Seguro de Vida</t>
  </si>
  <si>
    <t>VIGILANTE ARMADO</t>
  </si>
  <si>
    <t>Posto de trabalho:De 2ª a Domingo, das 6:00 às 18:00 - c/ intervalo regulamentar para refeição</t>
  </si>
  <si>
    <t>Posto de trabalho:De 2ª a Domingo, das 6:30 às 18:30 - c/ intervalo regulamentar para refeição</t>
  </si>
  <si>
    <t>Posto de trabalho:De 2ª a Domingo, das 6:00 às 18:00/ das 6:30 às 18:30 - c/ intervalo regulamentar para refeição</t>
  </si>
  <si>
    <t>VIGILANTE ARMADO - Líder</t>
  </si>
  <si>
    <t>5103-10</t>
  </si>
  <si>
    <t>12 HORAS NOTURNO</t>
  </si>
  <si>
    <t>Posto de trabalho:De 2ª a Domingo, das 18:00 às 06:00 - c/ intervalo regulamentar para refeição</t>
  </si>
  <si>
    <t>Posto de trabalho:De 2ª a Domingo, das 18:00 às 06:00/ das 18:30 às 06:30 - c/ intervalo regulamentar p/ refeição</t>
  </si>
  <si>
    <t>PLANILHA - INSUMOS DIVERSOS DE MÃO-DE-OBRA</t>
  </si>
  <si>
    <t>TOTAL GERAL</t>
  </si>
  <si>
    <r>
      <t>Substituto na cobertura de Férias</t>
    </r>
    <r>
      <rPr>
        <sz val="10"/>
        <rFont val="Arial Narrow"/>
        <family val="2"/>
      </rPr>
      <t xml:space="preserve">  (já provisionado no submódulo 2.1 item B)</t>
    </r>
  </si>
  <si>
    <r>
      <t>Substituto na cobertura de Afastamento Maternidade</t>
    </r>
    <r>
      <rPr>
        <sz val="10"/>
        <rFont val="Arial Narrow"/>
        <family val="2"/>
      </rPr>
      <t xml:space="preserve"> (aportar no submódulo 4.1.1)</t>
    </r>
  </si>
  <si>
    <t>Incidência do Sub módulo 2.2</t>
  </si>
  <si>
    <t>C.4</t>
  </si>
  <si>
    <t>Outros (Especificar)</t>
  </si>
  <si>
    <t>Gratificação</t>
  </si>
  <si>
    <t>Multa do FGTS sobre o Aviso Prévio Indenizado</t>
  </si>
  <si>
    <t xml:space="preserve">Multa do FGTS sobre o Aviso Prévio Trabalhado. </t>
  </si>
  <si>
    <t>OBSERVAÇÕES  RELATIVAS AS PLANILHAS DE CUSTOS E FORMAÇÃO DE PREÇOS</t>
  </si>
  <si>
    <t>Planilhas Modelo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</si>
  <si>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</si>
  <si>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4 - Nas planilhas de insumos a periodicidade/mês e o quantitativo devem ser preenchidos conforme informações constantes no Edital</t>
  </si>
  <si>
    <t>5 - Algumas células apresentam fórmulas multiplicadas por 0 (zero) para manter a integridade dos cálculos, caso o conteúdo da célula seja aplicável a licitante sugere-se apagar o zero e manter a integridade do cálculo e/ou adaptar conforme a característica e particularidade da Licitante.</t>
  </si>
  <si>
    <t>6 - Ao utilizar utilizar as planilhas Modelo editáveis da CEAGESP sugere-se seguir o preenchimento na ordem em que se encontram para facilitar a integração dos cálculos e manutenção das fórmulas</t>
  </si>
  <si>
    <t>CATEGORIA SINDICAL - Acordos e Convenções Coletivas</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</si>
  <si>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adapatados conforme as caracteristicas e particularidades de cada empresa licitante.</t>
  </si>
  <si>
    <t>Acordos e Convenções Coletivas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</si>
  <si>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</si>
  <si>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</si>
  <si>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</si>
  <si>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</si>
  <si>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</si>
  <si>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</si>
  <si>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Os salários e beneficios utilizados nos modelos de planilhas de custos e formação de preços constantes no Edital tem como base a Convenção Coletiva de Trabalho das referidas categorias dos postos de serviços. Observa-se ainda que funções não definidas em convenção coletiva serão corrigidas de acordo com o percentual de reajuste definido na convenção coletiva de trabalho utilizada pela licitante.</t>
  </si>
  <si>
    <t>Adicional de Insalubridade e Periculosidade</t>
  </si>
  <si>
    <t>Prever nas planilhas de custos conforme legislação vigente (se necessário)</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</si>
  <si>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</si>
  <si>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</si>
  <si>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Sub módulo 2.2 (Anexar junto com as planilhas)</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</si>
  <si>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</si>
  <si>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t>Módulo 3 Item D (Custos não renováveis)</t>
  </si>
  <si>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</si>
  <si>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Submódulos 4.2 e 4.2.1</t>
  </si>
  <si>
    <t>Cálculo dos Submódulos 4.2 e 4.2.1 somente se previstos no Instrumento Convocatório</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</si>
  <si>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</si>
  <si>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Módulo 6 (Anexar junto com as planilhas Arquivos e Documentos para comprovação das alíquotas efetivas para empresas optantes pelo regime tributário Lucro Real)</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</si>
  <si>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</si>
  <si>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Módulo 6 (Anexar junto com as planilhas documentos para comprovação tributária)</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</si>
  <si>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</si>
  <si>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Módulo 6 - Observação: optantes pelo SIMPLES Nacional na prestação de serviços de vigilância, limpeza ou conservação.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</si>
  <si>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</si>
  <si>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MEMÓRIA DE CÁLCULO</t>
  </si>
  <si>
    <t>A LICITANTE DEVERÁ APRESENTAR/DESCREVER A MEMÓRIA DE CÁLCULO UTILIZADA NOS DIVERSOS MÓDULOS DE SUAS PLANILHAS DE CUSTOS E JUSTIFICÁ-LAS QUANDO NECESSÁRIO.</t>
  </si>
  <si>
    <t>OBSERVAÇÕES GERAIS</t>
  </si>
  <si>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t>
    </r>
  </si>
  <si>
    <t>Apresentar cópia dos Acordos e Convenções Coletivas que a Licitante utilizou para compor salários e benefícios na planilha de custos e formação de preços</t>
  </si>
  <si>
    <t>VIGILANTE ARM - Condutor MOTO</t>
  </si>
  <si>
    <t>VIGILANTE ARM - Condutor CARRO</t>
  </si>
  <si>
    <t>EQUIPAMENTOS COMUNS VIGILANTES</t>
  </si>
  <si>
    <t>Botão de Pânico</t>
  </si>
  <si>
    <t>Acessórios Ciclistas (capacete, joelheira, cotoveleira, etc.)</t>
  </si>
  <si>
    <t>Colete balístico</t>
  </si>
  <si>
    <t>Lanterna com bateria recarregável</t>
  </si>
  <si>
    <t>Periodicidade/meses</t>
  </si>
  <si>
    <t>Veículo - Modelo Popular 4 portas</t>
  </si>
  <si>
    <t>Bicicleta - 21 marcha, aro 26</t>
  </si>
  <si>
    <t>Sistema de Ronda de Postos</t>
  </si>
  <si>
    <t>Outros itens constantes no Termo de Referência</t>
  </si>
  <si>
    <t>TOTAL MENSAL</t>
  </si>
  <si>
    <t>Kilometragem Total dos Veículos Mês (Consumo Médio 8km/L)</t>
  </si>
  <si>
    <t>Kilometragem Total das Motos Mês (Consumo Médio 30km/L)</t>
  </si>
  <si>
    <t>5km/l</t>
  </si>
  <si>
    <t>8km/l</t>
  </si>
  <si>
    <t>30km/l</t>
  </si>
  <si>
    <t>TOTAL - POSTOS NOTURNOS</t>
  </si>
  <si>
    <t>TOTAL - POSTOS DIURNOS</t>
  </si>
  <si>
    <t>GRUPO I</t>
  </si>
  <si>
    <t>ITEM</t>
  </si>
  <si>
    <t>VIGILANTE ARM - BICICLETA</t>
  </si>
  <si>
    <t>OBJETO:  PRESTAÇÃO DE SERVIÇOS DE VIGILÂNCIA E SEGURANÇA PATRIMONIAL 24 HORAS PARA O ETSP COM  MONITORAMENTO ELETRÔNICO</t>
  </si>
  <si>
    <r>
      <rPr>
        <u/>
        <sz val="10"/>
        <rFont val="Arial Narrow"/>
        <family val="2"/>
      </rPr>
      <t>OBJETO</t>
    </r>
    <r>
      <rPr>
        <sz val="10"/>
        <rFont val="Arial Narrow"/>
        <family val="2"/>
      </rPr>
      <t>:</t>
    </r>
    <r>
      <rPr>
        <b/>
        <sz val="10"/>
        <rFont val="Arial Narrow"/>
        <family val="2"/>
      </rPr>
      <t xml:space="preserve"> PRESTAÇÃO DE SERVIÇOS DE VIGILÂNCIA E SEGURANÇA PATRIMONIAL 24 HORAS PARA O ETSP COM  MONITORAMENTO ELETRÔNICO</t>
    </r>
  </si>
  <si>
    <t>PROCESSO Nº 167/2024</t>
  </si>
  <si>
    <r>
      <t>OBJETO</t>
    </r>
    <r>
      <rPr>
        <sz val="11"/>
        <rFont val="Arial Narrow"/>
        <family val="2"/>
      </rPr>
      <t xml:space="preserve">: </t>
    </r>
    <r>
      <rPr>
        <b/>
        <sz val="11"/>
        <rFont val="Arial Narrow"/>
        <family val="2"/>
      </rPr>
      <t xml:space="preserve"> PRESTAÇÃO DE SERVIÇOS DE VIGILÂNCIA E SEGURANÇA PATRIMONIAL 24 HORAS PARA O ETSP COM  MONITORAMENTO ELETRÔNICO</t>
    </r>
  </si>
  <si>
    <t>VIGILANTE DESARMADO</t>
  </si>
  <si>
    <t>Meia de Algodão (par)</t>
  </si>
  <si>
    <t>Perua Van / Similar</t>
  </si>
  <si>
    <t>Kilometragem Total da Perua Van / Similar Mês (Cons. Médio 5km/L)</t>
  </si>
  <si>
    <t>SUPERVISOR DESARMADO</t>
  </si>
  <si>
    <t>VIGILANTE OP. MONITORAMENTO</t>
  </si>
  <si>
    <t>VIGILANTE OP MONITORAMENTO</t>
  </si>
  <si>
    <t>TOTAL DE POSTOS DE VIGILANTES</t>
  </si>
  <si>
    <t>TOTAL - POSTOS MONITORAMENTO</t>
  </si>
  <si>
    <t>GRUPO I - VIGILANCIA E SEGURANÇA PATRIMONIAL</t>
  </si>
  <si>
    <t>VALOR TOTAL DOS POSTOS DE MÃO DE OBRA</t>
  </si>
  <si>
    <t>GRUPO II - MONITORAMENTO</t>
  </si>
  <si>
    <t>LOCAÇÃO DE EQUIPAMENTOS - GRUPO III</t>
  </si>
  <si>
    <t>Item</t>
  </si>
  <si>
    <t>Descrição</t>
  </si>
  <si>
    <t>Unid.</t>
  </si>
  <si>
    <t>CÂMERA BULLET</t>
  </si>
  <si>
    <t>PÇ</t>
  </si>
  <si>
    <t>CÂMARA PARA OCR</t>
  </si>
  <si>
    <t>CÂMERA SPEED DOME</t>
  </si>
  <si>
    <t>CÂMERA PANORÂMICA PTZ</t>
  </si>
  <si>
    <t>RACK DE PAREDE</t>
  </si>
  <si>
    <t>SWITCH 24 PORTAS POE</t>
  </si>
  <si>
    <t>NOBREAK 1500 VA</t>
  </si>
  <si>
    <t>CONVERSOR DE MÍDIA</t>
  </si>
  <si>
    <t>POSTE</t>
  </si>
  <si>
    <t>SISTEMA DE VÍDEOMONITORAMENTO</t>
  </si>
  <si>
    <t>SISTEMA ANALÍTICO PARA RECONHECIMENTO FACIAL</t>
  </si>
  <si>
    <t>ESTAÇÃO DE MONITORAMENTO DE IMAGENS</t>
  </si>
  <si>
    <t>MONITOR DE VÍDEO</t>
  </si>
  <si>
    <t>MESA CONTROLADORA PARA SPEED DOME</t>
  </si>
  <si>
    <t>SWITCH 24 PORTAS GERENCIÁVEL</t>
  </si>
  <si>
    <t>NOBREAK CENTRAL</t>
  </si>
  <si>
    <t>MONITOR PRA VÍDEOWALL</t>
  </si>
  <si>
    <t>DECODIFICADOR DE IMAGENS</t>
  </si>
  <si>
    <t>RACK 44 U</t>
  </si>
  <si>
    <t>LINK RÁDIO PONTO A PONTO</t>
  </si>
  <si>
    <t>CONSOLE PARA OPERADOR DE MONITORAMENTO</t>
  </si>
  <si>
    <t>CADEIRA PARA MONITORAMENTO</t>
  </si>
  <si>
    <t>LEITOR DE BIOMETRIA FACIAL</t>
  </si>
  <si>
    <t>KIT FECHADURA ELETRÔNICA</t>
  </si>
  <si>
    <t>SOFTWARE PARA O SISTEMA DE LEITURA DE PLACAS</t>
  </si>
  <si>
    <t>SERVIDOR PARA O SISTEMA DE LEITURA DE PLACAS</t>
  </si>
  <si>
    <t>INFRAESTRUTURA ESTIMADA (MATERIAIS SOB EXPENSAS DA CONTRATADA)</t>
  </si>
  <si>
    <t>SUPORTE EXTENSOR "BRAÇO" P/ SPEED DOME</t>
  </si>
  <si>
    <t>PÇS</t>
  </si>
  <si>
    <t>Adaptador para Fixação em Parede / Canto Externo</t>
  </si>
  <si>
    <t>Adaptador para Fixação em Poste</t>
  </si>
  <si>
    <t>CAIXA DE PASSAGEM ALUMÍNIO 10x10 - COM TAMPA</t>
  </si>
  <si>
    <t>CINTA DE AÇO PARA POSTE</t>
  </si>
  <si>
    <t>PATCH PANEL CAT 6 - 16 P</t>
  </si>
  <si>
    <t>PATCH CORD CAT 6 - 1,0 MTS</t>
  </si>
  <si>
    <t>DIO FIBRA ÓPTICA</t>
  </si>
  <si>
    <t>PIGTAIL</t>
  </si>
  <si>
    <t>CORDÃO ÓPTICO DUPLEX</t>
  </si>
  <si>
    <t xml:space="preserve">FIBRA ÓPTICA MONOMODO - 04 F.O. </t>
  </si>
  <si>
    <t>MTS</t>
  </si>
  <si>
    <t xml:space="preserve">CINTA DE AÇO PARA POSTE </t>
  </si>
  <si>
    <t>ESTICADOR PARA CABO</t>
  </si>
  <si>
    <t xml:space="preserve">ISOLADOR TIPO "CASTANHA" </t>
  </si>
  <si>
    <t>CABO PP 2X2,5 MM</t>
  </si>
  <si>
    <t>DIO FIBRA ÓPTICA - 24 FO</t>
  </si>
  <si>
    <t>DIO FIBRA ÓPTICA - 12 FO</t>
  </si>
  <si>
    <t>PATCH PANEL CAT 6 - 24 P</t>
  </si>
  <si>
    <t>CABO FTP CAT 6 - OUTDOOR</t>
  </si>
  <si>
    <t>TUBULAÇÃO GALVANIZADA COMPLETA COM ACESSÓRIOS</t>
  </si>
  <si>
    <t>ACESSÓRIOS PARA CONECTORIZAÇÃO</t>
  </si>
  <si>
    <t>VB</t>
  </si>
  <si>
    <t>Valor Mensal</t>
  </si>
  <si>
    <t>R$ (Período 12 meses)</t>
  </si>
  <si>
    <t>GRUPO II</t>
  </si>
  <si>
    <t xml:space="preserve">Sindicato:  </t>
  </si>
  <si>
    <t>QUADRO RESUMO GERAL - GRUPO I e II</t>
  </si>
  <si>
    <t>GRUPO III - SISTEMA DE VIGILANCIA ELETRONICA (LOCAÇÃO) - ESTIMATIVA LICITANTE</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</si>
</sst>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_([$€]* #,##0.00_);_([$€]* \(#,##0.00\);_([$€]* &quot;-&quot;??_);_(@_)"/>
    <numFmt numFmtId="173" formatCode="&quot;R$&quot;\ #,##0.00"/>
    <numFmt numFmtId="174" formatCode="_-[$R$-416]\ * #,##0.00_-;\-[$R$-416]\ * #,##0.00_-;_-[$R$-416]\ * &quot;-&quot;??_-;_-@_-"/>
  </numFmts>
  <fonts count="56"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u/>
      <sz val="11"/>
      <name val="Arial Narrow"/>
      <family val="2"/>
    </font>
    <font>
      <b/>
      <sz val="9"/>
      <name val="Arial Narrow"/>
      <family val="2"/>
    </font>
    <font>
      <b/>
      <u/>
      <sz val="11"/>
      <name val="Arial Narrow"/>
      <family val="2"/>
    </font>
    <font>
      <u/>
      <sz val="10"/>
      <name val="Arial Narrow"/>
      <family val="2"/>
    </font>
    <font>
      <sz val="9"/>
      <name val="Arial Narrow"/>
      <family val="2"/>
    </font>
    <font>
      <strike/>
      <sz val="10"/>
      <name val="Arial Narrow"/>
      <family val="2"/>
    </font>
    <font>
      <b/>
      <sz val="14"/>
      <name val="Arial"/>
      <family val="2"/>
    </font>
    <font>
      <b/>
      <sz val="12"/>
      <name val="Arial"/>
      <family val="2"/>
    </font>
    <font>
      <sz val="12"/>
      <name val="Arial"/>
      <family val="2"/>
    </font>
    <font>
      <b/>
      <u/>
      <sz val="12"/>
      <name val="Arial"/>
      <family val="2"/>
    </font>
    <font>
      <b/>
      <i/>
      <u/>
      <sz val="10"/>
      <name val="Arial"/>
      <family val="2"/>
    </font>
    <font>
      <b/>
      <i/>
      <sz val="12"/>
      <name val="Arial"/>
      <family val="2"/>
    </font>
    <font>
      <b/>
      <sz val="10"/>
      <name val="Arial"/>
      <family val="2"/>
    </font>
    <font>
      <b/>
      <sz val="9"/>
      <color rgb="FF000000"/>
      <name val="Segoe UI"/>
      <family val="2"/>
    </font>
    <font>
      <sz val="9"/>
      <color rgb="FF000000"/>
      <name val="Segoe UI"/>
      <family val="2"/>
    </font>
    <font>
      <b/>
      <u/>
      <sz val="10"/>
      <name val="Arial Narrow"/>
      <family val="2"/>
    </font>
    <font>
      <b/>
      <strike/>
      <sz val="10"/>
      <name val="Arial Narrow"/>
      <family val="2"/>
    </font>
    <font>
      <sz val="11"/>
      <name val="Arial"/>
      <family val="2"/>
    </font>
    <font>
      <sz val="11"/>
      <color theme="1"/>
      <name val="Arial"/>
      <family val="2"/>
    </font>
    <font>
      <b/>
      <u/>
      <sz val="12"/>
      <name val="Arial Narrow"/>
      <family val="2"/>
    </font>
    <font>
      <b/>
      <sz val="14"/>
      <name val="Arial Narrow"/>
      <family val="2"/>
    </font>
    <font>
      <sz val="11"/>
      <color rgb="FF000000"/>
      <name val="Arial Narrow"/>
      <family val="2"/>
    </font>
    <font>
      <b/>
      <sz val="11"/>
      <color rgb="FF000000"/>
      <name val="Arial Narrow"/>
      <family val="2"/>
    </font>
  </fonts>
  <fills count="49">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4" tint="0.79998168889431442"/>
        <bgColor indexed="64"/>
      </patternFill>
    </fill>
    <fill>
      <patternFill patternType="solid">
        <fgColor theme="2"/>
        <bgColor indexed="64"/>
      </patternFill>
    </fill>
    <fill>
      <patternFill patternType="solid">
        <fgColor theme="4" tint="0.39997558519241921"/>
        <bgColor indexed="64"/>
      </patternFill>
    </fill>
    <fill>
      <patternFill patternType="solid">
        <fgColor rgb="FFD9E1F2"/>
        <bgColor rgb="FF000000"/>
      </patternFill>
    </fill>
    <fill>
      <patternFill patternType="solid">
        <fgColor rgb="FFB4C6E7"/>
        <bgColor rgb="FF000000"/>
      </patternFill>
    </fill>
    <fill>
      <patternFill patternType="solid">
        <fgColor rgb="FFFFFFFF"/>
        <bgColor rgb="FF000000"/>
      </patternFill>
    </fill>
    <fill>
      <patternFill patternType="solid">
        <fgColor rgb="FFFFFF00"/>
        <bgColor rgb="FF000000"/>
      </patternFill>
    </fill>
    <fill>
      <patternFill patternType="solid">
        <fgColor theme="0"/>
        <bgColor indexed="64"/>
      </patternFill>
    </fill>
    <fill>
      <patternFill patternType="solid">
        <fgColor theme="8" tint="0.59999389629810485"/>
        <bgColor indexed="64"/>
      </patternFill>
    </fill>
    <fill>
      <patternFill patternType="solid">
        <fgColor rgb="FF9BC2E6"/>
        <bgColor rgb="FF000000"/>
      </patternFill>
    </fill>
  </fills>
  <borders count="10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top/>
      <bottom style="thin">
        <color auto="1"/>
      </bottom>
      <diagonal/>
    </border>
    <border>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64"/>
      </left>
      <right/>
      <top style="medium">
        <color indexed="64"/>
      </top>
      <bottom style="thin">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auto="1"/>
      </right>
      <top style="medium">
        <color auto="1"/>
      </top>
      <bottom/>
      <diagonal/>
    </border>
    <border>
      <left style="thin">
        <color auto="1"/>
      </left>
      <right style="thin">
        <color auto="1"/>
      </right>
      <top/>
      <bottom style="medium">
        <color auto="1"/>
      </bottom>
      <diagonal/>
    </border>
    <border>
      <left style="medium">
        <color indexed="64"/>
      </left>
      <right style="thin">
        <color indexed="64"/>
      </right>
      <top/>
      <bottom style="medium">
        <color indexed="64"/>
      </bottom>
      <diagonal/>
    </border>
    <border>
      <left style="medium">
        <color auto="1"/>
      </left>
      <right/>
      <top/>
      <bottom style="medium">
        <color auto="1"/>
      </bottom>
      <diagonal/>
    </border>
    <border>
      <left style="medium">
        <color indexed="64"/>
      </left>
      <right/>
      <top style="medium">
        <color indexed="64"/>
      </top>
      <bottom style="slantDashDot">
        <color indexed="64"/>
      </bottom>
      <diagonal/>
    </border>
    <border>
      <left/>
      <right/>
      <top style="medium">
        <color indexed="64"/>
      </top>
      <bottom style="slantDashDot">
        <color indexed="64"/>
      </bottom>
      <diagonal/>
    </border>
    <border>
      <left/>
      <right style="thin">
        <color auto="1"/>
      </right>
      <top style="medium">
        <color indexed="64"/>
      </top>
      <bottom style="slantDashDot">
        <color indexed="64"/>
      </bottom>
      <diagonal/>
    </border>
    <border>
      <left style="thin">
        <color auto="1"/>
      </left>
      <right/>
      <top style="medium">
        <color indexed="64"/>
      </top>
      <bottom style="slantDashDot">
        <color indexed="64"/>
      </bottom>
      <diagonal/>
    </border>
    <border>
      <left/>
      <right style="medium">
        <color indexed="64"/>
      </right>
      <top style="medium">
        <color indexed="64"/>
      </top>
      <bottom style="slantDashDot">
        <color indexed="64"/>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top style="thin">
        <color auto="1"/>
      </top>
      <bottom style="thin">
        <color auto="1"/>
      </bottom>
      <diagonal/>
    </border>
    <border>
      <left style="medium">
        <color indexed="64"/>
      </left>
      <right/>
      <top style="thin">
        <color auto="1"/>
      </top>
      <bottom style="thin">
        <color auto="1"/>
      </bottom>
      <diagonal/>
    </border>
    <border>
      <left style="medium">
        <color auto="1"/>
      </left>
      <right style="medium">
        <color auto="1"/>
      </right>
      <top style="thin">
        <color auto="1"/>
      </top>
      <bottom style="thin">
        <color auto="1"/>
      </bottom>
      <diagonal/>
    </border>
    <border>
      <left/>
      <right/>
      <top style="thin">
        <color auto="1"/>
      </top>
      <bottom style="medium">
        <color auto="1"/>
      </bottom>
      <diagonal/>
    </border>
    <border>
      <left style="thin">
        <color indexed="64"/>
      </left>
      <right/>
      <top style="slantDashDot">
        <color indexed="64"/>
      </top>
      <bottom/>
      <diagonal/>
    </border>
    <border>
      <left/>
      <right/>
      <top style="slantDashDot">
        <color indexed="64"/>
      </top>
      <bottom/>
      <diagonal/>
    </border>
    <border>
      <left style="medium">
        <color auto="1"/>
      </left>
      <right style="thin">
        <color auto="1"/>
      </right>
      <top style="slantDashDot">
        <color indexed="64"/>
      </top>
      <bottom/>
      <diagonal/>
    </border>
    <border>
      <left style="thin">
        <color auto="1"/>
      </left>
      <right/>
      <top style="slantDashDot">
        <color indexed="64"/>
      </top>
      <bottom style="thin">
        <color auto="1"/>
      </bottom>
      <diagonal/>
    </border>
    <border>
      <left/>
      <right style="medium">
        <color auto="1"/>
      </right>
      <top style="slantDashDot">
        <color indexed="64"/>
      </top>
      <bottom style="thin">
        <color auto="1"/>
      </bottom>
      <diagonal/>
    </border>
    <border>
      <left/>
      <right style="thin">
        <color auto="1"/>
      </right>
      <top style="thin">
        <color auto="1"/>
      </top>
      <bottom style="medium">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style="medium">
        <color auto="1"/>
      </right>
      <top style="medium">
        <color auto="1"/>
      </top>
      <bottom style="medium">
        <color auto="1"/>
      </bottom>
      <diagonal/>
    </border>
    <border>
      <left style="medium">
        <color indexed="64"/>
      </left>
      <right style="thin">
        <color auto="1"/>
      </right>
      <top style="thin">
        <color auto="1"/>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auto="1"/>
      </right>
      <top style="medium">
        <color indexed="64"/>
      </top>
      <bottom/>
      <diagonal/>
    </border>
  </borders>
  <cellStyleXfs count="64">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8" fillId="4" borderId="0" applyNumberFormat="0" applyBorder="0" applyAlignment="0" applyProtection="0"/>
    <xf numFmtId="0" fontId="9" fillId="16" borderId="1" applyNumberFormat="0" applyAlignment="0" applyProtection="0"/>
    <xf numFmtId="0" fontId="10" fillId="17" borderId="2" applyNumberFormat="0" applyAlignment="0" applyProtection="0"/>
    <xf numFmtId="0" fontId="11" fillId="0" borderId="3" applyNumberFormat="0" applyFill="0" applyAlignment="0" applyProtection="0"/>
    <xf numFmtId="0" fontId="7"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21" borderId="0" applyNumberFormat="0" applyBorder="0" applyAlignment="0" applyProtection="0"/>
    <xf numFmtId="0" fontId="12" fillId="7" borderId="1" applyNumberFormat="0" applyAlignment="0" applyProtection="0"/>
    <xf numFmtId="0" fontId="13" fillId="3" borderId="0" applyNumberFormat="0" applyBorder="0" applyAlignment="0" applyProtection="0"/>
    <xf numFmtId="164" fontId="6" fillId="0" borderId="0" applyFont="0" applyFill="0" applyBorder="0" applyAlignment="0" applyProtection="0"/>
    <xf numFmtId="0" fontId="14" fillId="22" borderId="0" applyNumberFormat="0" applyBorder="0" applyAlignment="0" applyProtection="0"/>
    <xf numFmtId="0" fontId="23" fillId="0" borderId="0"/>
    <xf numFmtId="0" fontId="23" fillId="23" borderId="4" applyNumberFormat="0" applyAlignment="0" applyProtection="0"/>
    <xf numFmtId="9" fontId="23" fillId="0" borderId="0" applyFont="0" applyFill="0" applyBorder="0" applyAlignment="0" applyProtection="0"/>
    <xf numFmtId="0" fontId="15" fillId="16" borderId="5"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22" fillId="0" borderId="0" applyNumberFormat="0" applyFill="0" applyBorder="0" applyAlignment="0" applyProtection="0"/>
    <xf numFmtId="0" fontId="19" fillId="0" borderId="6" applyNumberFormat="0" applyFill="0" applyAlignment="0" applyProtection="0"/>
    <xf numFmtId="0" fontId="20" fillId="0" borderId="7" applyNumberFormat="0" applyFill="0" applyAlignment="0" applyProtection="0"/>
    <xf numFmtId="0" fontId="21" fillId="0" borderId="8" applyNumberFormat="0" applyFill="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18" fillId="0" borderId="9" applyNumberFormat="0" applyFill="0" applyAlignment="0" applyProtection="0"/>
    <xf numFmtId="167" fontId="23" fillId="0" borderId="0" applyFill="0" applyBorder="0" applyAlignment="0" applyProtection="0"/>
    <xf numFmtId="167" fontId="23" fillId="0" borderId="0" applyFill="0" applyBorder="0" applyAlignment="0" applyProtection="0"/>
    <xf numFmtId="0" fontId="23" fillId="0" borderId="0"/>
    <xf numFmtId="165" fontId="23" fillId="0" borderId="0" applyFont="0" applyFill="0" applyBorder="0" applyAlignment="0" applyProtection="0"/>
    <xf numFmtId="0" fontId="26" fillId="0" borderId="0"/>
    <xf numFmtId="166" fontId="26" fillId="0" borderId="0"/>
    <xf numFmtId="9" fontId="23" fillId="0" borderId="0" applyFont="0" applyFill="0" applyBorder="0" applyAlignment="0" applyProtection="0"/>
    <xf numFmtId="0" fontId="5" fillId="0" borderId="0"/>
    <xf numFmtId="0" fontId="4" fillId="0" borderId="0"/>
    <xf numFmtId="166" fontId="26" fillId="0" borderId="0"/>
    <xf numFmtId="0" fontId="3" fillId="0" borderId="0"/>
    <xf numFmtId="43" fontId="3" fillId="0" borderId="0" applyFont="0" applyFill="0" applyBorder="0" applyAlignment="0" applyProtection="0"/>
    <xf numFmtId="172" fontId="23" fillId="0" borderId="0"/>
    <xf numFmtId="164" fontId="23" fillId="0" borderId="0" applyFont="0" applyFill="0" applyBorder="0" applyAlignment="0" applyProtection="0"/>
    <xf numFmtId="0" fontId="2" fillId="0" borderId="0"/>
    <xf numFmtId="43" fontId="23" fillId="0" borderId="0" applyFont="0" applyFill="0" applyBorder="0" applyAlignment="0" applyProtection="0"/>
    <xf numFmtId="172" fontId="23" fillId="0" borderId="0"/>
    <xf numFmtId="0" fontId="1" fillId="0" borderId="0"/>
  </cellStyleXfs>
  <cellXfs count="544">
    <xf numFmtId="0" fontId="0" fillId="0" borderId="0" xfId="0"/>
    <xf numFmtId="0" fontId="28" fillId="0" borderId="0" xfId="50" applyFont="1"/>
    <xf numFmtId="0" fontId="27" fillId="0" borderId="19" xfId="50" applyFont="1" applyBorder="1" applyAlignment="1" applyProtection="1">
      <alignment horizontal="center" vertical="center"/>
    </xf>
    <xf numFmtId="0" fontId="28" fillId="0" borderId="0" xfId="50" applyFont="1" applyAlignment="1" applyProtection="1">
      <alignment vertical="center"/>
    </xf>
    <xf numFmtId="0" fontId="27" fillId="30" borderId="38" xfId="50" applyFont="1" applyFill="1" applyBorder="1" applyAlignment="1" applyProtection="1">
      <alignment horizontal="center" vertical="center"/>
    </xf>
    <xf numFmtId="0" fontId="27" fillId="30" borderId="27" xfId="50" applyFont="1" applyFill="1" applyBorder="1" applyAlignment="1" applyProtection="1">
      <alignment horizontal="center" vertical="center"/>
    </xf>
    <xf numFmtId="166" fontId="27" fillId="30" borderId="28" xfId="51" applyFont="1" applyFill="1" applyBorder="1" applyAlignment="1" applyProtection="1">
      <alignment horizontal="center" vertical="center"/>
    </xf>
    <xf numFmtId="166" fontId="28" fillId="0" borderId="43" xfId="51" applyFont="1" applyBorder="1" applyAlignment="1" applyProtection="1">
      <alignment vertical="center"/>
    </xf>
    <xf numFmtId="166" fontId="28" fillId="0" borderId="0" xfId="50" applyNumberFormat="1" applyFont="1" applyAlignment="1" applyProtection="1">
      <alignment vertical="center"/>
    </xf>
    <xf numFmtId="166" fontId="27" fillId="31" borderId="28" xfId="51" applyFont="1" applyFill="1" applyBorder="1" applyAlignment="1" applyProtection="1">
      <alignment vertical="center"/>
    </xf>
    <xf numFmtId="169" fontId="28" fillId="0" borderId="0" xfId="50" applyNumberFormat="1" applyFont="1" applyAlignment="1" applyProtection="1">
      <alignment vertical="center"/>
    </xf>
    <xf numFmtId="0" fontId="28" fillId="0" borderId="44" xfId="50" applyFont="1" applyBorder="1" applyAlignment="1">
      <alignment horizontal="center"/>
    </xf>
    <xf numFmtId="10" fontId="28" fillId="0" borderId="42" xfId="35" applyNumberFormat="1" applyFont="1" applyBorder="1" applyAlignment="1" applyProtection="1">
      <alignment horizontal="center" vertical="center"/>
    </xf>
    <xf numFmtId="170" fontId="28" fillId="0" borderId="22" xfId="51" applyNumberFormat="1" applyFont="1" applyBorder="1" applyAlignment="1" applyProtection="1">
      <alignment vertical="center"/>
    </xf>
    <xf numFmtId="0" fontId="28" fillId="0" borderId="0" xfId="50" applyFont="1" applyBorder="1" applyAlignment="1" applyProtection="1">
      <alignment vertical="center"/>
    </xf>
    <xf numFmtId="0" fontId="28" fillId="0" borderId="0" xfId="50" applyFont="1" applyBorder="1"/>
    <xf numFmtId="170" fontId="28" fillId="0" borderId="37" xfId="51" applyNumberFormat="1" applyFont="1" applyBorder="1" applyAlignment="1" applyProtection="1">
      <alignment vertical="center"/>
    </xf>
    <xf numFmtId="170" fontId="28" fillId="0" borderId="31" xfId="51" applyNumberFormat="1" applyFont="1" applyBorder="1" applyAlignment="1" applyProtection="1">
      <alignment vertical="center"/>
    </xf>
    <xf numFmtId="10" fontId="27" fillId="31" borderId="32" xfId="50" applyNumberFormat="1" applyFont="1" applyFill="1" applyBorder="1" applyAlignment="1" applyProtection="1">
      <alignment horizontal="center" vertical="center"/>
    </xf>
    <xf numFmtId="170" fontId="27" fillId="31" borderId="28" xfId="50" applyNumberFormat="1" applyFont="1" applyFill="1" applyBorder="1" applyAlignment="1" applyProtection="1">
      <alignment horizontal="right" vertical="center"/>
    </xf>
    <xf numFmtId="0" fontId="28" fillId="0" borderId="47" xfId="50" applyFont="1" applyBorder="1" applyAlignment="1">
      <alignment horizontal="center"/>
    </xf>
    <xf numFmtId="170" fontId="28" fillId="0" borderId="35" xfId="51" applyNumberFormat="1" applyFont="1" applyBorder="1" applyAlignment="1" applyProtection="1">
      <alignment vertical="center"/>
    </xf>
    <xf numFmtId="44" fontId="28" fillId="0" borderId="48" xfId="50" applyNumberFormat="1" applyFont="1" applyBorder="1" applyAlignment="1" applyProtection="1">
      <alignment horizontal="center" vertical="center"/>
    </xf>
    <xf numFmtId="0" fontId="28" fillId="0" borderId="41" xfId="50" applyNumberFormat="1" applyFont="1" applyBorder="1" applyAlignment="1" applyProtection="1">
      <alignment horizontal="center" vertical="center"/>
    </xf>
    <xf numFmtId="166" fontId="28" fillId="0" borderId="49" xfId="51" applyFont="1" applyBorder="1" applyAlignment="1" applyProtection="1">
      <alignment vertical="center"/>
    </xf>
    <xf numFmtId="44" fontId="28" fillId="0" borderId="16" xfId="50" applyNumberFormat="1" applyFont="1" applyBorder="1" applyAlignment="1" applyProtection="1">
      <alignment horizontal="center" vertical="center"/>
    </xf>
    <xf numFmtId="0" fontId="28" fillId="0" borderId="42" xfId="50" applyNumberFormat="1" applyFont="1" applyBorder="1" applyAlignment="1" applyProtection="1">
      <alignment horizontal="center" vertical="center"/>
    </xf>
    <xf numFmtId="0" fontId="27" fillId="32" borderId="33" xfId="50" applyFont="1" applyFill="1" applyBorder="1" applyAlignment="1" applyProtection="1">
      <alignment horizontal="center" vertical="center"/>
    </xf>
    <xf numFmtId="10" fontId="27" fillId="32" borderId="48" xfId="50" applyNumberFormat="1" applyFont="1" applyFill="1" applyBorder="1" applyAlignment="1" applyProtection="1">
      <alignment horizontal="center" vertical="center"/>
    </xf>
    <xf numFmtId="170" fontId="27" fillId="32" borderId="49" xfId="50" applyNumberFormat="1" applyFont="1" applyFill="1" applyBorder="1" applyAlignment="1" applyProtection="1">
      <alignment horizontal="right" vertical="center"/>
    </xf>
    <xf numFmtId="0" fontId="27" fillId="32" borderId="21" xfId="50" applyFont="1" applyFill="1" applyBorder="1" applyAlignment="1" applyProtection="1">
      <alignment horizontal="center" vertical="center"/>
    </xf>
    <xf numFmtId="10" fontId="27" fillId="32" borderId="16" xfId="50" applyNumberFormat="1" applyFont="1" applyFill="1" applyBorder="1" applyAlignment="1" applyProtection="1">
      <alignment horizontal="center" vertical="center"/>
    </xf>
    <xf numFmtId="170" fontId="27" fillId="32" borderId="43" xfId="50" applyNumberFormat="1" applyFont="1" applyFill="1" applyBorder="1" applyAlignment="1" applyProtection="1">
      <alignment horizontal="right" vertical="center"/>
    </xf>
    <xf numFmtId="0" fontId="27" fillId="30" borderId="34" xfId="50" applyFont="1" applyFill="1" applyBorder="1" applyAlignment="1" applyProtection="1">
      <alignment horizontal="left" vertical="center"/>
    </xf>
    <xf numFmtId="0" fontId="27" fillId="30" borderId="35" xfId="50" applyFont="1" applyFill="1" applyBorder="1" applyAlignment="1" applyProtection="1">
      <alignment horizontal="left" vertical="center"/>
    </xf>
    <xf numFmtId="0" fontId="28" fillId="33" borderId="0" xfId="50" applyFont="1" applyFill="1" applyAlignment="1" applyProtection="1">
      <alignment vertical="center"/>
    </xf>
    <xf numFmtId="170" fontId="28" fillId="0" borderId="49" xfId="51" applyNumberFormat="1" applyFont="1" applyBorder="1" applyAlignment="1" applyProtection="1">
      <alignment vertical="center"/>
    </xf>
    <xf numFmtId="170" fontId="28" fillId="0" borderId="43" xfId="51" applyNumberFormat="1" applyFont="1" applyBorder="1" applyAlignment="1" applyProtection="1">
      <alignment vertical="center"/>
    </xf>
    <xf numFmtId="170" fontId="28" fillId="0" borderId="50" xfId="51" applyNumberFormat="1" applyFont="1" applyBorder="1" applyAlignment="1" applyProtection="1">
      <alignment vertical="center"/>
    </xf>
    <xf numFmtId="10" fontId="27" fillId="31" borderId="40" xfId="50" applyNumberFormat="1" applyFont="1" applyFill="1" applyBorder="1" applyAlignment="1" applyProtection="1">
      <alignment horizontal="center" vertical="center"/>
    </xf>
    <xf numFmtId="170" fontId="27" fillId="31" borderId="50" xfId="50" applyNumberFormat="1" applyFont="1" applyFill="1" applyBorder="1" applyAlignment="1" applyProtection="1">
      <alignment horizontal="right" vertical="center"/>
    </xf>
    <xf numFmtId="0" fontId="28" fillId="0" borderId="39" xfId="50" applyFont="1" applyBorder="1" applyAlignment="1" applyProtection="1">
      <alignment vertical="center"/>
    </xf>
    <xf numFmtId="1" fontId="28" fillId="0" borderId="48" xfId="50" applyNumberFormat="1" applyFont="1" applyBorder="1" applyAlignment="1" applyProtection="1">
      <alignment horizontal="center" vertical="center"/>
    </xf>
    <xf numFmtId="10" fontId="27" fillId="0" borderId="46" xfId="35" applyNumberFormat="1" applyFont="1" applyBorder="1" applyAlignment="1" applyProtection="1">
      <alignment horizontal="center" vertical="center"/>
    </xf>
    <xf numFmtId="170" fontId="27" fillId="0" borderId="50" xfId="51" applyNumberFormat="1" applyFont="1" applyBorder="1" applyAlignment="1" applyProtection="1">
      <alignment vertical="center"/>
    </xf>
    <xf numFmtId="0" fontId="28" fillId="24" borderId="33" xfId="50" applyFont="1" applyFill="1" applyBorder="1"/>
    <xf numFmtId="0" fontId="27" fillId="31" borderId="34" xfId="50" applyFont="1" applyFill="1" applyBorder="1" applyAlignment="1" applyProtection="1">
      <alignment vertical="center"/>
    </xf>
    <xf numFmtId="0" fontId="27" fillId="31" borderId="48" xfId="50" applyFont="1" applyFill="1" applyBorder="1" applyAlignment="1" applyProtection="1">
      <alignment vertical="center"/>
    </xf>
    <xf numFmtId="166" fontId="27" fillId="31" borderId="49" xfId="31" applyNumberFormat="1" applyFont="1" applyFill="1" applyBorder="1" applyAlignment="1" applyProtection="1">
      <alignment vertical="center"/>
    </xf>
    <xf numFmtId="0" fontId="28" fillId="24" borderId="21" xfId="50" applyFont="1" applyFill="1" applyBorder="1"/>
    <xf numFmtId="0" fontId="27" fillId="31" borderId="0" xfId="50" applyFont="1" applyFill="1" applyBorder="1" applyAlignment="1" applyProtection="1">
      <alignment vertical="center"/>
    </xf>
    <xf numFmtId="1" fontId="29" fillId="31" borderId="16" xfId="50" applyNumberFormat="1" applyFont="1" applyFill="1" applyBorder="1" applyAlignment="1" applyProtection="1">
      <alignment vertical="center"/>
    </xf>
    <xf numFmtId="8" fontId="27" fillId="31" borderId="43" xfId="31" applyNumberFormat="1" applyFont="1" applyFill="1" applyBorder="1" applyAlignment="1" applyProtection="1">
      <alignment vertical="center"/>
    </xf>
    <xf numFmtId="0" fontId="28" fillId="0" borderId="21" xfId="50" applyFont="1" applyFill="1" applyBorder="1"/>
    <xf numFmtId="0" fontId="27" fillId="0" borderId="0" xfId="50" applyFont="1" applyFill="1" applyBorder="1" applyAlignment="1" applyProtection="1">
      <alignment vertical="center"/>
    </xf>
    <xf numFmtId="1" fontId="29" fillId="0" borderId="16" xfId="50" applyNumberFormat="1" applyFont="1" applyFill="1" applyBorder="1" applyAlignment="1" applyProtection="1">
      <alignment vertical="center"/>
    </xf>
    <xf numFmtId="171" fontId="27" fillId="0" borderId="43" xfId="31" applyNumberFormat="1" applyFont="1" applyFill="1" applyBorder="1" applyAlignment="1" applyProtection="1">
      <alignment horizontal="center" vertical="center"/>
    </xf>
    <xf numFmtId="0" fontId="27" fillId="35" borderId="21" xfId="50" applyFont="1" applyFill="1" applyBorder="1" applyAlignment="1" applyProtection="1">
      <alignment vertical="center"/>
    </xf>
    <xf numFmtId="3" fontId="27" fillId="35" borderId="16" xfId="35" applyNumberFormat="1" applyFont="1" applyFill="1" applyBorder="1" applyAlignment="1" applyProtection="1">
      <alignment vertical="center"/>
    </xf>
    <xf numFmtId="8" fontId="27" fillId="36" borderId="43" xfId="31" applyNumberFormat="1" applyFont="1" applyFill="1" applyBorder="1" applyAlignment="1" applyProtection="1">
      <alignment vertical="center"/>
    </xf>
    <xf numFmtId="0" fontId="28" fillId="37" borderId="0" xfId="50" applyFont="1" applyFill="1" applyAlignment="1" applyProtection="1">
      <alignment vertical="center"/>
    </xf>
    <xf numFmtId="0" fontId="27" fillId="35" borderId="23" xfId="50" applyFont="1" applyFill="1" applyBorder="1" applyAlignment="1" applyProtection="1">
      <alignment vertical="center"/>
    </xf>
    <xf numFmtId="3" fontId="27" fillId="35" borderId="53" xfId="35" applyNumberFormat="1" applyFont="1" applyFill="1" applyBorder="1" applyAlignment="1" applyProtection="1">
      <alignment vertical="center"/>
    </xf>
    <xf numFmtId="8" fontId="27" fillId="35" borderId="54" xfId="31" applyNumberFormat="1" applyFont="1" applyFill="1" applyBorder="1" applyAlignment="1" applyProtection="1">
      <alignment vertical="center"/>
    </xf>
    <xf numFmtId="0" fontId="30" fillId="0" borderId="0" xfId="50" applyFont="1"/>
    <xf numFmtId="0" fontId="32" fillId="0" borderId="0" xfId="0" applyFont="1" applyAlignment="1" applyProtection="1">
      <alignment vertical="center"/>
    </xf>
    <xf numFmtId="0" fontId="32" fillId="0" borderId="0" xfId="0" applyFont="1" applyAlignment="1" applyProtection="1">
      <alignment horizontal="center" vertical="center" wrapText="1"/>
    </xf>
    <xf numFmtId="44" fontId="32" fillId="0" borderId="0" xfId="0" applyNumberFormat="1" applyFont="1" applyAlignment="1" applyProtection="1">
      <alignment vertical="center"/>
    </xf>
    <xf numFmtId="0" fontId="28" fillId="0" borderId="0" xfId="0" applyFont="1"/>
    <xf numFmtId="0" fontId="28" fillId="0" borderId="21" xfId="0" applyFont="1" applyBorder="1" applyAlignment="1">
      <alignment horizontal="center"/>
    </xf>
    <xf numFmtId="0" fontId="28" fillId="0" borderId="42" xfId="0" applyFont="1" applyBorder="1" applyAlignment="1" applyProtection="1">
      <alignment horizontal="center" vertical="center"/>
    </xf>
    <xf numFmtId="10" fontId="28" fillId="0" borderId="42" xfId="0" applyNumberFormat="1" applyFont="1" applyBorder="1" applyAlignment="1" applyProtection="1">
      <alignment horizontal="center" vertical="center"/>
    </xf>
    <xf numFmtId="169" fontId="28" fillId="0" borderId="0" xfId="0" applyNumberFormat="1" applyFont="1" applyAlignment="1" applyProtection="1">
      <alignment vertical="center"/>
    </xf>
    <xf numFmtId="0" fontId="28" fillId="0" borderId="44" xfId="0" applyFont="1" applyBorder="1" applyAlignment="1">
      <alignment horizontal="center"/>
    </xf>
    <xf numFmtId="10" fontId="28" fillId="0" borderId="42" xfId="52" applyNumberFormat="1" applyFont="1" applyBorder="1" applyAlignment="1" applyProtection="1">
      <alignment horizontal="center" vertical="center"/>
    </xf>
    <xf numFmtId="0" fontId="28" fillId="0" borderId="45" xfId="0" applyFont="1" applyBorder="1" applyAlignment="1">
      <alignment horizontal="center"/>
    </xf>
    <xf numFmtId="10" fontId="28" fillId="0" borderId="46" xfId="52" applyNumberFormat="1" applyFont="1" applyBorder="1" applyAlignment="1" applyProtection="1">
      <alignment horizontal="center" vertical="center"/>
    </xf>
    <xf numFmtId="0" fontId="28" fillId="0" borderId="21" xfId="0" applyFont="1" applyBorder="1"/>
    <xf numFmtId="10" fontId="27" fillId="0" borderId="30" xfId="52" applyNumberFormat="1" applyFont="1" applyBorder="1" applyAlignment="1" applyProtection="1">
      <alignment horizontal="center" vertical="center"/>
    </xf>
    <xf numFmtId="0" fontId="28" fillId="0" borderId="38" xfId="0" applyFont="1" applyBorder="1" applyAlignment="1" applyProtection="1">
      <alignment horizontal="center" vertical="center"/>
    </xf>
    <xf numFmtId="0" fontId="28" fillId="0" borderId="32" xfId="0" applyFont="1" applyBorder="1" applyAlignment="1" applyProtection="1">
      <alignment vertical="center"/>
    </xf>
    <xf numFmtId="0" fontId="28" fillId="0" borderId="30" xfId="0" applyFont="1" applyBorder="1" applyAlignment="1" applyProtection="1">
      <alignment vertical="center"/>
    </xf>
    <xf numFmtId="10" fontId="28" fillId="0" borderId="27" xfId="52" applyNumberFormat="1" applyFont="1" applyBorder="1" applyAlignment="1" applyProtection="1">
      <alignment horizontal="center" vertical="center"/>
    </xf>
    <xf numFmtId="10" fontId="27" fillId="31" borderId="32" xfId="0" applyNumberFormat="1" applyFont="1" applyFill="1" applyBorder="1" applyAlignment="1" applyProtection="1">
      <alignment horizontal="center" vertical="center"/>
    </xf>
    <xf numFmtId="170" fontId="27" fillId="31" borderId="28" xfId="0" applyNumberFormat="1" applyFont="1" applyFill="1" applyBorder="1" applyAlignment="1" applyProtection="1">
      <alignment horizontal="right" vertical="center"/>
    </xf>
    <xf numFmtId="0" fontId="28" fillId="0" borderId="47" xfId="0" applyFont="1" applyBorder="1" applyAlignment="1">
      <alignment horizontal="center"/>
    </xf>
    <xf numFmtId="10" fontId="28" fillId="0" borderId="41" xfId="52" applyNumberFormat="1" applyFont="1" applyBorder="1" applyAlignment="1" applyProtection="1">
      <alignment horizontal="center" vertical="center"/>
    </xf>
    <xf numFmtId="0" fontId="28" fillId="0" borderId="0" xfId="0" applyFont="1" applyBorder="1" applyAlignment="1" applyProtection="1">
      <alignment vertical="center"/>
    </xf>
    <xf numFmtId="44" fontId="28" fillId="0" borderId="16" xfId="0" applyNumberFormat="1" applyFont="1" applyBorder="1" applyAlignment="1" applyProtection="1">
      <alignment horizontal="center" vertical="center"/>
    </xf>
    <xf numFmtId="0" fontId="28" fillId="33" borderId="0" xfId="0" applyFont="1" applyFill="1" applyAlignment="1" applyProtection="1">
      <alignment vertical="center"/>
    </xf>
    <xf numFmtId="1" fontId="28" fillId="0" borderId="16" xfId="0" applyNumberFormat="1" applyFont="1" applyBorder="1" applyAlignment="1" applyProtection="1">
      <alignment horizontal="center" vertical="center"/>
    </xf>
    <xf numFmtId="3" fontId="28" fillId="0" borderId="16" xfId="52" applyNumberFormat="1" applyFont="1" applyBorder="1" applyAlignment="1" applyProtection="1">
      <alignment horizontal="center" vertical="center"/>
    </xf>
    <xf numFmtId="44" fontId="28" fillId="0" borderId="16" xfId="50" applyNumberFormat="1" applyFont="1" applyFill="1" applyBorder="1" applyAlignment="1" applyProtection="1">
      <alignment horizontal="center" vertical="center"/>
    </xf>
    <xf numFmtId="10" fontId="28" fillId="0" borderId="41" xfId="35" applyNumberFormat="1" applyFont="1" applyFill="1" applyBorder="1" applyAlignment="1" applyProtection="1">
      <alignment horizontal="center" vertical="center"/>
    </xf>
    <xf numFmtId="10" fontId="28" fillId="0" borderId="42" xfId="35" applyNumberFormat="1" applyFont="1" applyFill="1" applyBorder="1" applyAlignment="1" applyProtection="1">
      <alignment horizontal="center" vertical="center"/>
    </xf>
    <xf numFmtId="10" fontId="28" fillId="0" borderId="46" xfId="35" applyNumberFormat="1" applyFont="1" applyFill="1" applyBorder="1" applyAlignment="1" applyProtection="1">
      <alignment horizontal="center" vertical="center"/>
    </xf>
    <xf numFmtId="3" fontId="32" fillId="0" borderId="38" xfId="46" applyNumberFormat="1" applyFont="1" applyBorder="1" applyAlignment="1" applyProtection="1">
      <alignment horizontal="left" vertical="center"/>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27" fillId="0" borderId="52" xfId="0" applyFont="1" applyBorder="1" applyAlignment="1" applyProtection="1">
      <alignment horizontal="center" vertical="center" wrapText="1"/>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27" fillId="30" borderId="27" xfId="50" applyFont="1" applyFill="1" applyBorder="1" applyAlignment="1" applyProtection="1">
      <alignment horizontal="center" vertical="center"/>
    </xf>
    <xf numFmtId="0" fontId="32" fillId="0" borderId="38" xfId="48" applyFont="1" applyFill="1" applyBorder="1" applyAlignment="1">
      <alignment vertical="center"/>
    </xf>
    <xf numFmtId="0" fontId="32" fillId="0" borderId="13" xfId="48" applyFont="1" applyFill="1" applyBorder="1" applyAlignment="1">
      <alignment vertical="center"/>
    </xf>
    <xf numFmtId="0" fontId="32" fillId="0" borderId="11" xfId="48" applyFont="1" applyFill="1" applyBorder="1" applyAlignment="1">
      <alignment horizontal="center" vertical="center"/>
    </xf>
    <xf numFmtId="0" fontId="32" fillId="0" borderId="13" xfId="33" applyFont="1" applyFill="1" applyBorder="1" applyAlignment="1">
      <alignment horizontal="left" vertical="center"/>
    </xf>
    <xf numFmtId="10" fontId="32" fillId="0" borderId="11" xfId="47" applyNumberFormat="1" applyFont="1" applyFill="1" applyBorder="1" applyAlignment="1">
      <alignment horizontal="center" vertical="center"/>
    </xf>
    <xf numFmtId="44" fontId="32" fillId="0" borderId="66" xfId="49" applyNumberFormat="1" applyFont="1" applyFill="1" applyBorder="1" applyAlignment="1">
      <alignment horizontal="center" vertical="center"/>
    </xf>
    <xf numFmtId="44" fontId="32" fillId="0" borderId="11" xfId="49" applyNumberFormat="1" applyFont="1" applyFill="1" applyBorder="1" applyAlignment="1">
      <alignment horizontal="center" vertical="center"/>
    </xf>
    <xf numFmtId="44" fontId="32" fillId="0" borderId="66" xfId="47" applyNumberFormat="1" applyFont="1" applyFill="1" applyBorder="1" applyAlignment="1">
      <alignment horizontal="center" vertical="center"/>
    </xf>
    <xf numFmtId="44" fontId="28" fillId="0" borderId="34" xfId="50" applyNumberFormat="1" applyFont="1" applyBorder="1" applyAlignment="1" applyProtection="1">
      <alignment vertical="center"/>
    </xf>
    <xf numFmtId="44" fontId="31" fillId="0" borderId="0" xfId="0" applyNumberFormat="1" applyFont="1" applyAlignment="1" applyProtection="1">
      <alignment vertical="center"/>
    </xf>
    <xf numFmtId="0" fontId="31" fillId="0" borderId="0" xfId="0" applyFont="1" applyAlignment="1" applyProtection="1">
      <alignment vertical="center"/>
    </xf>
    <xf numFmtId="44" fontId="35" fillId="0" borderId="0" xfId="0" applyNumberFormat="1" applyFont="1" applyAlignment="1" applyProtection="1">
      <alignment vertical="center"/>
    </xf>
    <xf numFmtId="0" fontId="35" fillId="0" borderId="0" xfId="0" applyFont="1" applyAlignment="1" applyProtection="1">
      <alignment vertical="center"/>
    </xf>
    <xf numFmtId="0" fontId="32" fillId="0" borderId="45" xfId="48" applyFont="1" applyFill="1" applyBorder="1" applyAlignment="1">
      <alignment vertical="center"/>
    </xf>
    <xf numFmtId="0" fontId="32" fillId="0" borderId="38" xfId="33" applyFont="1" applyFill="1" applyBorder="1" applyAlignment="1">
      <alignment horizontal="left" vertical="center"/>
    </xf>
    <xf numFmtId="0" fontId="32" fillId="0" borderId="38" xfId="56" applyFont="1" applyFill="1" applyBorder="1" applyAlignment="1">
      <alignment vertical="center"/>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32" fillId="0" borderId="46" xfId="48" applyFont="1" applyFill="1" applyBorder="1" applyAlignment="1">
      <alignment horizontal="center" vertical="center"/>
    </xf>
    <xf numFmtId="0" fontId="32" fillId="0" borderId="41" xfId="48" applyFont="1" applyFill="1" applyBorder="1" applyAlignment="1">
      <alignment horizontal="center" vertical="center"/>
    </xf>
    <xf numFmtId="0" fontId="23" fillId="0" borderId="0" xfId="0" applyFont="1" applyFill="1" applyBorder="1"/>
    <xf numFmtId="0" fontId="41" fillId="0" borderId="22" xfId="0" applyFont="1" applyFill="1" applyBorder="1" applyAlignment="1">
      <alignment horizontal="justify" vertical="center" wrapText="1"/>
    </xf>
    <xf numFmtId="0" fontId="40" fillId="0" borderId="12" xfId="0" applyFont="1" applyFill="1" applyBorder="1" applyAlignment="1">
      <alignment horizontal="center" vertical="center" wrapText="1"/>
    </xf>
    <xf numFmtId="0" fontId="41" fillId="0" borderId="49" xfId="0" applyFont="1" applyFill="1" applyBorder="1" applyAlignment="1">
      <alignment horizontal="left" vertical="center" wrapText="1"/>
    </xf>
    <xf numFmtId="0" fontId="40" fillId="0" borderId="45" xfId="0" applyFont="1" applyFill="1" applyBorder="1" applyAlignment="1">
      <alignment horizontal="justify" vertical="center" wrapText="1"/>
    </xf>
    <xf numFmtId="0" fontId="41" fillId="0" borderId="50" xfId="0" applyFont="1" applyFill="1" applyBorder="1" applyAlignment="1">
      <alignment horizontal="left" vertical="center" wrapText="1"/>
    </xf>
    <xf numFmtId="0" fontId="40" fillId="40" borderId="45" xfId="0" applyFont="1" applyFill="1" applyBorder="1" applyAlignment="1">
      <alignment horizontal="justify" vertical="center" wrapText="1"/>
    </xf>
    <xf numFmtId="0" fontId="41" fillId="40" borderId="50" xfId="0" applyFont="1" applyFill="1" applyBorder="1" applyAlignment="1">
      <alignment horizontal="left" vertical="center" wrapText="1"/>
    </xf>
    <xf numFmtId="0" fontId="40" fillId="0" borderId="45" xfId="0" applyFont="1" applyFill="1" applyBorder="1" applyAlignment="1">
      <alignment horizontal="center" vertical="center" wrapText="1"/>
    </xf>
    <xf numFmtId="0" fontId="41" fillId="0" borderId="50" xfId="0" applyFont="1" applyFill="1" applyBorder="1" applyAlignment="1">
      <alignment horizontal="justify" vertical="center" wrapText="1"/>
    </xf>
    <xf numFmtId="0" fontId="41" fillId="0" borderId="84" xfId="0" applyFont="1" applyFill="1" applyBorder="1" applyAlignment="1">
      <alignment horizontal="justify" vertical="center" wrapText="1"/>
    </xf>
    <xf numFmtId="0" fontId="43" fillId="0" borderId="0" xfId="50" applyFont="1" applyFill="1" applyBorder="1" applyAlignment="1">
      <alignment vertical="center"/>
    </xf>
    <xf numFmtId="0" fontId="23" fillId="0" borderId="0" xfId="0" applyFont="1" applyFill="1" applyBorder="1" applyAlignment="1">
      <alignment horizontal="left" vertical="center" wrapText="1"/>
    </xf>
    <xf numFmtId="0" fontId="44" fillId="0" borderId="84" xfId="50" applyFont="1" applyFill="1" applyBorder="1" applyAlignment="1">
      <alignment horizontal="justify" vertical="center"/>
    </xf>
    <xf numFmtId="0" fontId="41" fillId="0" borderId="84" xfId="0" applyFont="1" applyFill="1" applyBorder="1" applyAlignment="1">
      <alignment horizontal="left" vertical="center" wrapText="1"/>
    </xf>
    <xf numFmtId="0" fontId="40" fillId="40" borderId="12" xfId="0" applyFont="1" applyFill="1" applyBorder="1" applyAlignment="1">
      <alignment horizontal="center" vertical="center" wrapText="1"/>
    </xf>
    <xf numFmtId="0" fontId="41" fillId="40" borderId="84" xfId="0" applyFont="1" applyFill="1" applyBorder="1" applyAlignment="1">
      <alignment horizontal="justify" vertical="center" wrapText="1"/>
    </xf>
    <xf numFmtId="0" fontId="40" fillId="0" borderId="47" xfId="0" applyFont="1" applyFill="1" applyBorder="1" applyAlignment="1">
      <alignment horizontal="center" vertical="center" wrapText="1"/>
    </xf>
    <xf numFmtId="0" fontId="41" fillId="0" borderId="49" xfId="0" applyFont="1" applyFill="1" applyBorder="1" applyAlignment="1">
      <alignment horizontal="justify" vertical="center" wrapText="1"/>
    </xf>
    <xf numFmtId="0" fontId="40" fillId="40" borderId="84" xfId="0" applyFont="1" applyFill="1" applyBorder="1" applyAlignment="1">
      <alignment horizontal="justify" vertical="center" wrapText="1"/>
    </xf>
    <xf numFmtId="0" fontId="45" fillId="0" borderId="0" xfId="0" applyFont="1" applyFill="1" applyBorder="1" applyAlignment="1">
      <alignment horizontal="center" wrapText="1"/>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173" fontId="32" fillId="0" borderId="81" xfId="46" applyNumberFormat="1" applyFont="1" applyBorder="1" applyAlignment="1" applyProtection="1">
      <alignment vertical="center"/>
    </xf>
    <xf numFmtId="173" fontId="32" fillId="0" borderId="84" xfId="46" applyNumberFormat="1" applyFont="1" applyBorder="1" applyAlignment="1" applyProtection="1">
      <alignment vertical="center"/>
    </xf>
    <xf numFmtId="173" fontId="31" fillId="39" borderId="81" xfId="46" applyNumberFormat="1" applyFont="1" applyFill="1" applyBorder="1" applyAlignment="1" applyProtection="1">
      <alignment vertical="center"/>
    </xf>
    <xf numFmtId="173" fontId="31" fillId="39" borderId="84" xfId="46" applyNumberFormat="1" applyFont="1" applyFill="1" applyBorder="1" applyAlignment="1" applyProtection="1">
      <alignment vertical="center"/>
    </xf>
    <xf numFmtId="3" fontId="32" fillId="0" borderId="81" xfId="46" applyNumberFormat="1" applyFont="1" applyBorder="1" applyAlignment="1" applyProtection="1">
      <alignment horizontal="left" vertical="center"/>
    </xf>
    <xf numFmtId="3" fontId="32" fillId="0" borderId="81" xfId="46" applyNumberFormat="1" applyFont="1" applyBorder="1" applyAlignment="1" applyProtection="1">
      <alignment horizontal="center" vertical="center"/>
    </xf>
    <xf numFmtId="3" fontId="31" fillId="39" borderId="81" xfId="46" applyNumberFormat="1" applyFont="1" applyFill="1" applyBorder="1" applyAlignment="1" applyProtection="1">
      <alignment horizontal="center" vertical="center"/>
    </xf>
    <xf numFmtId="0" fontId="28" fillId="0" borderId="0" xfId="50" applyFont="1" applyBorder="1" applyAlignment="1" applyProtection="1">
      <alignment vertical="center"/>
    </xf>
    <xf numFmtId="173" fontId="32" fillId="0" borderId="81" xfId="46" applyNumberFormat="1" applyFont="1" applyFill="1" applyBorder="1" applyAlignment="1" applyProtection="1">
      <alignment vertical="center"/>
    </xf>
    <xf numFmtId="3" fontId="32" fillId="0" borderId="81" xfId="46" applyNumberFormat="1" applyFont="1" applyFill="1" applyBorder="1" applyAlignment="1" applyProtection="1">
      <alignment horizontal="center" vertical="center"/>
    </xf>
    <xf numFmtId="0" fontId="28" fillId="44" borderId="0" xfId="48" applyFont="1" applyFill="1" applyBorder="1" applyAlignment="1">
      <alignment vertical="center"/>
    </xf>
    <xf numFmtId="3" fontId="32" fillId="0" borderId="0" xfId="0" applyNumberFormat="1" applyFont="1" applyFill="1" applyBorder="1" applyAlignment="1" applyProtection="1">
      <alignment horizontal="center" vertical="center"/>
    </xf>
    <xf numFmtId="0" fontId="32" fillId="0" borderId="0" xfId="0" applyFont="1" applyFill="1" applyBorder="1" applyAlignment="1" applyProtection="1">
      <alignment horizontal="center" vertical="center"/>
    </xf>
    <xf numFmtId="0" fontId="28" fillId="0" borderId="0" xfId="48" applyFont="1" applyFill="1" applyBorder="1" applyAlignment="1">
      <alignment vertical="center"/>
    </xf>
    <xf numFmtId="0" fontId="28" fillId="44" borderId="0" xfId="33" applyFont="1" applyFill="1" applyBorder="1" applyAlignment="1">
      <alignment vertical="center"/>
    </xf>
    <xf numFmtId="0" fontId="37" fillId="44" borderId="0" xfId="48" applyFont="1" applyFill="1" applyBorder="1" applyAlignment="1">
      <alignment vertical="center"/>
    </xf>
    <xf numFmtId="0" fontId="28" fillId="0" borderId="0" xfId="48" applyFont="1" applyFill="1" applyBorder="1" applyAlignment="1">
      <alignment horizontal="center" vertical="center"/>
    </xf>
    <xf numFmtId="0" fontId="34" fillId="43" borderId="65" xfId="48" applyFont="1" applyFill="1" applyBorder="1" applyAlignment="1">
      <alignment horizontal="center" vertical="center" wrapText="1"/>
    </xf>
    <xf numFmtId="0" fontId="34" fillId="43" borderId="63" xfId="48" applyFont="1" applyFill="1" applyBorder="1" applyAlignment="1">
      <alignment horizontal="center" vertical="center" wrapText="1"/>
    </xf>
    <xf numFmtId="0" fontId="32" fillId="0" borderId="81" xfId="48" applyFont="1" applyFill="1" applyBorder="1" applyAlignment="1">
      <alignment horizontal="center" vertical="center"/>
    </xf>
    <xf numFmtId="44" fontId="32" fillId="0" borderId="81" xfId="49" applyNumberFormat="1" applyFont="1" applyFill="1" applyBorder="1" applyAlignment="1">
      <alignment horizontal="center" vertical="center"/>
    </xf>
    <xf numFmtId="44" fontId="32" fillId="0" borderId="84" xfId="49" applyNumberFormat="1" applyFont="1" applyFill="1" applyBorder="1" applyAlignment="1">
      <alignment horizontal="center" vertical="center"/>
    </xf>
    <xf numFmtId="0" fontId="31" fillId="42" borderId="39" xfId="48" applyFont="1" applyFill="1" applyBorder="1" applyAlignment="1">
      <alignment horizontal="center" vertical="center"/>
    </xf>
    <xf numFmtId="44" fontId="31" fillId="42" borderId="35" xfId="49" applyNumberFormat="1" applyFont="1" applyFill="1" applyBorder="1" applyAlignment="1">
      <alignment horizontal="center" vertical="center"/>
    </xf>
    <xf numFmtId="0" fontId="28" fillId="44" borderId="0" xfId="48" applyFont="1" applyFill="1" applyBorder="1" applyAlignment="1">
      <alignment horizontal="center" vertical="center"/>
    </xf>
    <xf numFmtId="0" fontId="28" fillId="44" borderId="0" xfId="56" applyFont="1" applyFill="1" applyBorder="1" applyAlignment="1">
      <alignment horizontal="center" vertical="center"/>
    </xf>
    <xf numFmtId="0" fontId="28" fillId="44" borderId="0" xfId="56" applyFont="1" applyFill="1" applyBorder="1" applyAlignment="1">
      <alignment vertical="center"/>
    </xf>
    <xf numFmtId="0" fontId="32" fillId="0" borderId="0" xfId="0" applyFont="1" applyFill="1" applyBorder="1" applyAlignment="1" applyProtection="1">
      <alignment vertical="center"/>
    </xf>
    <xf numFmtId="0" fontId="37" fillId="44" borderId="0" xfId="48" applyFont="1" applyFill="1" applyBorder="1" applyAlignment="1">
      <alignment horizontal="center" vertical="center"/>
    </xf>
    <xf numFmtId="0" fontId="28" fillId="45" borderId="0" xfId="48" applyFont="1" applyFill="1" applyBorder="1" applyAlignment="1">
      <alignment vertical="center"/>
    </xf>
    <xf numFmtId="0" fontId="28" fillId="45" borderId="0" xfId="33" applyFont="1" applyFill="1" applyBorder="1" applyAlignment="1">
      <alignment horizontal="center" vertical="center"/>
    </xf>
    <xf numFmtId="0" fontId="28" fillId="45" borderId="0" xfId="33" applyFont="1" applyFill="1" applyBorder="1" applyAlignment="1">
      <alignment vertical="center"/>
    </xf>
    <xf numFmtId="0" fontId="28" fillId="44" borderId="0" xfId="33" applyFont="1" applyFill="1" applyBorder="1" applyAlignment="1">
      <alignment horizontal="center" vertical="center"/>
    </xf>
    <xf numFmtId="0" fontId="28" fillId="0" borderId="0" xfId="33" applyFont="1" applyFill="1" applyBorder="1" applyAlignment="1">
      <alignment vertical="center"/>
    </xf>
    <xf numFmtId="0" fontId="28" fillId="44" borderId="0" xfId="50" applyFont="1" applyFill="1" applyBorder="1" applyAlignment="1">
      <alignment horizontal="center" vertical="center"/>
    </xf>
    <xf numFmtId="0" fontId="28" fillId="44" borderId="0" xfId="50" applyFont="1" applyFill="1" applyBorder="1" applyAlignment="1">
      <alignment vertical="center"/>
    </xf>
    <xf numFmtId="0" fontId="32" fillId="0" borderId="81" xfId="33" applyFont="1" applyFill="1" applyBorder="1" applyAlignment="1">
      <alignment horizontal="center" vertical="center"/>
    </xf>
    <xf numFmtId="44" fontId="32" fillId="0" borderId="46" xfId="49" applyNumberFormat="1" applyFont="1" applyFill="1" applyBorder="1" applyAlignment="1">
      <alignment horizontal="center" vertical="center"/>
    </xf>
    <xf numFmtId="4" fontId="31" fillId="42" borderId="64" xfId="33" applyNumberFormat="1" applyFont="1" applyFill="1" applyBorder="1" applyAlignment="1">
      <alignment vertical="center"/>
    </xf>
    <xf numFmtId="44" fontId="31" fillId="42" borderId="78" xfId="49" applyNumberFormat="1" applyFont="1" applyFill="1" applyBorder="1" applyAlignment="1">
      <alignment horizontal="center" vertical="center"/>
    </xf>
    <xf numFmtId="0" fontId="31" fillId="42" borderId="64" xfId="48" applyFont="1" applyFill="1" applyBorder="1" applyAlignment="1">
      <alignment horizontal="center" vertical="center"/>
    </xf>
    <xf numFmtId="0" fontId="28" fillId="0" borderId="0" xfId="33" applyFont="1" applyFill="1" applyBorder="1" applyAlignment="1">
      <alignment horizontal="center" vertical="center"/>
    </xf>
    <xf numFmtId="8" fontId="31" fillId="42" borderId="74" xfId="48" applyNumberFormat="1" applyFont="1" applyFill="1" applyBorder="1" applyAlignment="1">
      <alignment horizontal="center" vertical="center"/>
    </xf>
    <xf numFmtId="44" fontId="31" fillId="42" borderId="75" xfId="49" applyNumberFormat="1" applyFont="1" applyFill="1" applyBorder="1" applyAlignment="1">
      <alignment horizontal="center" vertical="center"/>
    </xf>
    <xf numFmtId="10" fontId="32" fillId="0" borderId="81" xfId="47" applyNumberFormat="1" applyFont="1" applyFill="1" applyBorder="1" applyAlignment="1">
      <alignment horizontal="center" vertical="center"/>
    </xf>
    <xf numFmtId="44" fontId="32" fillId="0" borderId="84" xfId="47" applyNumberFormat="1" applyFont="1" applyFill="1" applyBorder="1" applyAlignment="1">
      <alignment horizontal="center" vertical="center"/>
    </xf>
    <xf numFmtId="3" fontId="32" fillId="0" borderId="81" xfId="47" applyNumberFormat="1" applyFont="1" applyFill="1" applyBorder="1" applyAlignment="1">
      <alignment horizontal="center" vertical="center"/>
    </xf>
    <xf numFmtId="0" fontId="32" fillId="0" borderId="81" xfId="48" applyFont="1" applyFill="1" applyBorder="1" applyAlignment="1">
      <alignment horizontal="center" vertical="center"/>
    </xf>
    <xf numFmtId="0" fontId="32" fillId="0" borderId="38" xfId="56" applyFont="1" applyFill="1" applyBorder="1" applyAlignment="1">
      <alignment vertical="center" wrapText="1"/>
    </xf>
    <xf numFmtId="0" fontId="32" fillId="0" borderId="83" xfId="56" applyFont="1" applyFill="1" applyBorder="1" applyAlignment="1">
      <alignment vertical="center" wrapText="1"/>
    </xf>
    <xf numFmtId="0" fontId="31" fillId="42" borderId="71" xfId="56" applyFont="1" applyFill="1" applyBorder="1" applyAlignment="1">
      <alignment vertical="center"/>
    </xf>
    <xf numFmtId="44" fontId="31" fillId="42" borderId="75" xfId="56" applyNumberFormat="1" applyFont="1" applyFill="1" applyBorder="1" applyAlignment="1">
      <alignment horizontal="center" vertical="center"/>
    </xf>
    <xf numFmtId="0" fontId="32" fillId="0" borderId="81" xfId="56" applyFont="1" applyFill="1" applyBorder="1" applyAlignment="1">
      <alignment horizontal="center" vertical="center"/>
    </xf>
    <xf numFmtId="0" fontId="31" fillId="42" borderId="56" xfId="56" applyFont="1" applyFill="1" applyBorder="1" applyAlignment="1">
      <alignment vertical="center"/>
    </xf>
    <xf numFmtId="44" fontId="31" fillId="42" borderId="57" xfId="56" applyNumberFormat="1" applyFont="1" applyFill="1" applyBorder="1" applyAlignment="1">
      <alignment horizontal="center" vertical="center"/>
    </xf>
    <xf numFmtId="0" fontId="32" fillId="0" borderId="13" xfId="56" applyFont="1" applyFill="1" applyBorder="1" applyAlignment="1">
      <alignment vertical="center"/>
    </xf>
    <xf numFmtId="0" fontId="32" fillId="0" borderId="11" xfId="56" applyFont="1" applyFill="1" applyBorder="1" applyAlignment="1">
      <alignment horizontal="center" vertical="center"/>
    </xf>
    <xf numFmtId="44" fontId="32" fillId="0" borderId="60" xfId="57" applyNumberFormat="1" applyFont="1" applyFill="1" applyBorder="1" applyAlignment="1">
      <alignment horizontal="center" vertical="center"/>
    </xf>
    <xf numFmtId="44" fontId="32" fillId="0" borderId="81" xfId="57" applyNumberFormat="1" applyFont="1" applyFill="1" applyBorder="1" applyAlignment="1">
      <alignment horizontal="center" vertical="center"/>
    </xf>
    <xf numFmtId="0" fontId="32" fillId="0" borderId="0" xfId="0" applyFont="1" applyAlignment="1" applyProtection="1">
      <alignment horizontal="center" vertical="center"/>
    </xf>
    <xf numFmtId="0" fontId="31" fillId="0" borderId="0" xfId="0" applyFont="1" applyAlignment="1" applyProtection="1">
      <alignment horizontal="center" vertical="center"/>
    </xf>
    <xf numFmtId="0" fontId="35" fillId="0" borderId="0" xfId="0" applyFont="1" applyAlignment="1" applyProtection="1">
      <alignment horizontal="center" vertical="center"/>
    </xf>
    <xf numFmtId="0" fontId="38" fillId="0" borderId="47" xfId="50" applyFont="1" applyBorder="1" applyAlignment="1">
      <alignment horizontal="center"/>
    </xf>
    <xf numFmtId="0" fontId="38" fillId="0" borderId="47" xfId="0" applyFont="1" applyBorder="1" applyAlignment="1">
      <alignment horizontal="center"/>
    </xf>
    <xf numFmtId="44" fontId="50" fillId="0" borderId="11" xfId="49" applyNumberFormat="1" applyFont="1" applyFill="1" applyBorder="1" applyAlignment="1">
      <alignment horizontal="center" vertical="center"/>
    </xf>
    <xf numFmtId="44" fontId="50" fillId="0" borderId="81" xfId="49" applyNumberFormat="1" applyFont="1" applyFill="1" applyBorder="1" applyAlignment="1">
      <alignment horizontal="center" vertical="center"/>
    </xf>
    <xf numFmtId="44" fontId="50" fillId="0" borderId="60" xfId="49" applyNumberFormat="1" applyFont="1" applyFill="1" applyBorder="1" applyAlignment="1">
      <alignment horizontal="center" vertical="center"/>
    </xf>
    <xf numFmtId="44" fontId="50" fillId="0" borderId="46" xfId="49" applyNumberFormat="1" applyFont="1" applyFill="1" applyBorder="1" applyAlignment="1">
      <alignment horizontal="center" vertical="center"/>
    </xf>
    <xf numFmtId="44" fontId="50" fillId="0" borderId="46" xfId="49" applyNumberFormat="1" applyFont="1" applyFill="1" applyBorder="1" applyAlignment="1">
      <alignment horizontal="right" vertical="center"/>
    </xf>
    <xf numFmtId="0" fontId="50" fillId="0" borderId="46" xfId="48" applyFont="1" applyFill="1" applyBorder="1" applyAlignment="1">
      <alignment horizontal="center" vertical="center"/>
    </xf>
    <xf numFmtId="0" fontId="50" fillId="0" borderId="81" xfId="48" applyFont="1" applyFill="1" applyBorder="1" applyAlignment="1">
      <alignment horizontal="center" vertical="center"/>
    </xf>
    <xf numFmtId="0" fontId="51" fillId="0" borderId="81" xfId="56" applyFont="1" applyFill="1" applyBorder="1" applyAlignment="1">
      <alignment horizontal="center" vertical="center"/>
    </xf>
    <xf numFmtId="0" fontId="50" fillId="0" borderId="41" xfId="48" applyFont="1" applyFill="1" applyBorder="1" applyAlignment="1">
      <alignment horizontal="center" vertical="center"/>
    </xf>
    <xf numFmtId="0" fontId="50" fillId="0" borderId="11" xfId="33" applyFont="1" applyFill="1" applyBorder="1" applyAlignment="1">
      <alignment horizontal="center" vertical="center"/>
    </xf>
    <xf numFmtId="0" fontId="50" fillId="0" borderId="81" xfId="33" applyFont="1" applyFill="1" applyBorder="1" applyAlignment="1">
      <alignment horizontal="center" vertical="center"/>
    </xf>
    <xf numFmtId="0" fontId="32" fillId="46" borderId="45" xfId="48" applyFont="1" applyFill="1" applyBorder="1" applyAlignment="1">
      <alignment vertical="center"/>
    </xf>
    <xf numFmtId="0" fontId="32" fillId="46" borderId="38" xfId="48" applyFont="1" applyFill="1" applyBorder="1" applyAlignment="1">
      <alignment vertical="center"/>
    </xf>
    <xf numFmtId="0" fontId="32" fillId="46" borderId="38" xfId="56" applyFont="1" applyFill="1" applyBorder="1" applyAlignment="1">
      <alignment vertical="center"/>
    </xf>
    <xf numFmtId="0" fontId="32" fillId="46" borderId="47" xfId="48" applyFont="1" applyFill="1" applyBorder="1" applyAlignment="1">
      <alignment vertical="center"/>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3" fontId="31" fillId="39" borderId="86" xfId="46" applyNumberFormat="1" applyFont="1" applyFill="1" applyBorder="1" applyAlignment="1" applyProtection="1">
      <alignment horizontal="right" vertical="center"/>
    </xf>
    <xf numFmtId="3" fontId="31" fillId="39" borderId="82" xfId="46" applyNumberFormat="1" applyFont="1" applyFill="1" applyBorder="1" applyAlignment="1" applyProtection="1">
      <alignment horizontal="right" vertical="center"/>
    </xf>
    <xf numFmtId="167" fontId="27" fillId="0" borderId="81" xfId="46" applyFont="1" applyBorder="1" applyAlignment="1" applyProtection="1">
      <alignment horizontal="center" vertical="center" wrapText="1"/>
    </xf>
    <xf numFmtId="0" fontId="27" fillId="0" borderId="81" xfId="0" applyFont="1" applyBorder="1" applyAlignment="1" applyProtection="1">
      <alignment horizontal="center" vertical="center" wrapText="1"/>
    </xf>
    <xf numFmtId="167" fontId="27" fillId="0" borderId="84" xfId="46" applyFont="1" applyBorder="1" applyAlignment="1" applyProtection="1">
      <alignment horizontal="center" vertical="center" wrapText="1"/>
    </xf>
    <xf numFmtId="0" fontId="38" fillId="0" borderId="0" xfId="50" applyFont="1" applyBorder="1" applyAlignment="1" applyProtection="1">
      <alignment vertical="center"/>
    </xf>
    <xf numFmtId="0" fontId="38" fillId="0" borderId="0" xfId="0" applyFont="1" applyBorder="1" applyAlignment="1" applyProtection="1">
      <alignment vertical="center"/>
    </xf>
    <xf numFmtId="10" fontId="28" fillId="0" borderId="41" xfId="35" applyNumberFormat="1" applyFont="1" applyBorder="1" applyAlignment="1" applyProtection="1">
      <alignment horizontal="center" vertical="center"/>
    </xf>
    <xf numFmtId="10" fontId="28" fillId="0" borderId="39" xfId="35" applyNumberFormat="1" applyFont="1" applyBorder="1" applyAlignment="1" applyProtection="1">
      <alignment horizontal="center" vertical="center"/>
    </xf>
    <xf numFmtId="0" fontId="31" fillId="0" borderId="0" xfId="0" applyFont="1" applyFill="1" applyAlignment="1" applyProtection="1">
      <alignment horizontal="center" vertical="center"/>
    </xf>
    <xf numFmtId="44" fontId="31" fillId="0" borderId="0" xfId="0" applyNumberFormat="1" applyFont="1" applyFill="1" applyAlignment="1" applyProtection="1">
      <alignment vertical="center"/>
    </xf>
    <xf numFmtId="44" fontId="32" fillId="0" borderId="0" xfId="0" applyNumberFormat="1" applyFont="1" applyFill="1" applyAlignment="1" applyProtection="1">
      <alignment vertical="center"/>
    </xf>
    <xf numFmtId="0" fontId="31" fillId="0" borderId="0" xfId="0" applyFont="1" applyFill="1" applyAlignment="1" applyProtection="1">
      <alignment vertical="center"/>
    </xf>
    <xf numFmtId="3" fontId="32" fillId="0" borderId="38" xfId="46" applyNumberFormat="1" applyFont="1" applyFill="1" applyBorder="1" applyAlignment="1" applyProtection="1">
      <alignment horizontal="left" vertical="center"/>
    </xf>
    <xf numFmtId="3" fontId="32" fillId="0" borderId="81" xfId="46" applyNumberFormat="1" applyFont="1" applyFill="1" applyBorder="1" applyAlignment="1" applyProtection="1">
      <alignment horizontal="left" vertical="center"/>
    </xf>
    <xf numFmtId="0" fontId="32" fillId="0" borderId="0" xfId="0" applyFont="1" applyFill="1" applyAlignment="1" applyProtection="1">
      <alignment horizontal="center" vertical="center"/>
    </xf>
    <xf numFmtId="3" fontId="31" fillId="39" borderId="82" xfId="46" applyNumberFormat="1" applyFont="1" applyFill="1" applyBorder="1" applyAlignment="1" applyProtection="1">
      <alignment horizontal="center" vertical="center"/>
    </xf>
    <xf numFmtId="173" fontId="31" fillId="39" borderId="82" xfId="46" applyNumberFormat="1" applyFont="1" applyFill="1" applyBorder="1" applyAlignment="1" applyProtection="1">
      <alignment vertical="center"/>
    </xf>
    <xf numFmtId="173" fontId="31" fillId="39" borderId="31" xfId="46" applyNumberFormat="1" applyFont="1" applyFill="1" applyBorder="1" applyAlignment="1" applyProtection="1">
      <alignment vertical="center"/>
    </xf>
    <xf numFmtId="3" fontId="31" fillId="47" borderId="81" xfId="46" applyNumberFormat="1" applyFont="1" applyFill="1" applyBorder="1" applyAlignment="1" applyProtection="1">
      <alignment horizontal="center" vertical="center"/>
    </xf>
    <xf numFmtId="173" fontId="31" fillId="47" borderId="81" xfId="46" applyNumberFormat="1" applyFont="1" applyFill="1" applyBorder="1" applyAlignment="1" applyProtection="1">
      <alignment vertical="center"/>
    </xf>
    <xf numFmtId="173" fontId="31" fillId="47" borderId="84" xfId="46" applyNumberFormat="1" applyFont="1" applyFill="1" applyBorder="1" applyAlignment="1" applyProtection="1">
      <alignment vertical="center"/>
    </xf>
    <xf numFmtId="3" fontId="35" fillId="47" borderId="68" xfId="46" applyNumberFormat="1" applyFont="1" applyFill="1" applyBorder="1" applyAlignment="1" applyProtection="1">
      <alignment horizontal="center" vertical="center"/>
    </xf>
    <xf numFmtId="173" fontId="35" fillId="47" borderId="68" xfId="46" applyNumberFormat="1" applyFont="1" applyFill="1" applyBorder="1" applyAlignment="1" applyProtection="1">
      <alignment vertical="center"/>
    </xf>
    <xf numFmtId="173" fontId="35" fillId="47" borderId="54" xfId="0" applyNumberFormat="1" applyFont="1" applyFill="1" applyBorder="1" applyAlignment="1" applyProtection="1">
      <alignment vertical="center"/>
    </xf>
    <xf numFmtId="0" fontId="32" fillId="0" borderId="0" xfId="33" applyNumberFormat="1" applyFont="1" applyFill="1" applyBorder="1" applyAlignment="1" applyProtection="1">
      <alignment horizontal="center" vertical="center"/>
    </xf>
    <xf numFmtId="0" fontId="32" fillId="0" borderId="0" xfId="33" applyFont="1" applyFill="1" applyBorder="1" applyAlignment="1" applyProtection="1">
      <alignment vertical="center"/>
    </xf>
    <xf numFmtId="0" fontId="32" fillId="0" borderId="0" xfId="58" applyNumberFormat="1" applyFont="1" applyFill="1" applyBorder="1" applyAlignment="1">
      <alignment horizontal="center" vertical="center"/>
    </xf>
    <xf numFmtId="174" fontId="32" fillId="0" borderId="0" xfId="59" applyNumberFormat="1" applyFont="1" applyFill="1" applyBorder="1" applyAlignment="1">
      <alignment vertical="center"/>
    </xf>
    <xf numFmtId="172" fontId="32" fillId="0" borderId="0" xfId="58" applyFont="1" applyFill="1" applyBorder="1" applyAlignment="1">
      <alignment vertical="center"/>
    </xf>
    <xf numFmtId="172" fontId="54" fillId="0" borderId="86" xfId="58" applyFont="1" applyFill="1" applyBorder="1" applyAlignment="1">
      <alignment horizontal="center" vertical="center"/>
    </xf>
    <xf numFmtId="164" fontId="32" fillId="0" borderId="81" xfId="59" applyFont="1" applyFill="1" applyBorder="1" applyAlignment="1">
      <alignment horizontal="center" vertical="center" wrapText="1"/>
    </xf>
    <xf numFmtId="0" fontId="32" fillId="0" borderId="84" xfId="59" applyNumberFormat="1" applyFont="1" applyFill="1" applyBorder="1" applyAlignment="1">
      <alignment horizontal="center" vertical="center" wrapText="1"/>
    </xf>
    <xf numFmtId="174" fontId="32" fillId="0" borderId="0" xfId="59" applyNumberFormat="1" applyFont="1" applyFill="1" applyBorder="1" applyAlignment="1">
      <alignment horizontal="center" vertical="center"/>
    </xf>
    <xf numFmtId="172" fontId="32" fillId="0" borderId="0" xfId="58" applyFont="1" applyFill="1" applyBorder="1" applyAlignment="1">
      <alignment horizontal="center" vertical="center"/>
    </xf>
    <xf numFmtId="0" fontId="54" fillId="0" borderId="38" xfId="58" applyNumberFormat="1" applyFont="1" applyFill="1" applyBorder="1" applyAlignment="1">
      <alignment horizontal="center" vertical="center"/>
    </xf>
    <xf numFmtId="164" fontId="32" fillId="0" borderId="81" xfId="59" applyFont="1" applyFill="1" applyBorder="1" applyAlignment="1">
      <alignment horizontal="center" vertical="center"/>
    </xf>
    <xf numFmtId="0" fontId="32" fillId="0" borderId="84" xfId="59" applyNumberFormat="1" applyFont="1" applyFill="1" applyBorder="1" applyAlignment="1">
      <alignment horizontal="center" vertical="center"/>
    </xf>
    <xf numFmtId="0" fontId="28" fillId="0" borderId="0" xfId="58" applyNumberFormat="1" applyFont="1" applyFill="1" applyBorder="1" applyAlignment="1">
      <alignment horizontal="center" vertical="center"/>
    </xf>
    <xf numFmtId="0" fontId="54" fillId="0" borderId="45" xfId="58" applyNumberFormat="1" applyFont="1" applyFill="1" applyBorder="1" applyAlignment="1">
      <alignment horizontal="center" vertical="center"/>
    </xf>
    <xf numFmtId="164" fontId="32" fillId="0" borderId="46" xfId="59" applyFont="1" applyFill="1" applyBorder="1" applyAlignment="1">
      <alignment horizontal="center" vertical="center" wrapText="1"/>
    </xf>
    <xf numFmtId="164" fontId="32" fillId="0" borderId="50" xfId="59" applyFont="1" applyFill="1" applyBorder="1" applyAlignment="1">
      <alignment horizontal="center" vertical="center" wrapText="1"/>
    </xf>
    <xf numFmtId="174" fontId="28" fillId="0" borderId="0" xfId="59" applyNumberFormat="1" applyFont="1" applyFill="1" applyBorder="1" applyAlignment="1">
      <alignment vertical="center"/>
    </xf>
    <xf numFmtId="172" fontId="28" fillId="0" borderId="0" xfId="58" applyFont="1" applyFill="1" applyBorder="1" applyAlignment="1">
      <alignment vertical="center"/>
    </xf>
    <xf numFmtId="0" fontId="54" fillId="0" borderId="98" xfId="58" applyNumberFormat="1" applyFont="1" applyFill="1" applyBorder="1" applyAlignment="1">
      <alignment horizontal="center" vertical="center"/>
    </xf>
    <xf numFmtId="164" fontId="32" fillId="0" borderId="100" xfId="59" applyFont="1" applyFill="1" applyBorder="1" applyAlignment="1">
      <alignment horizontal="center" vertical="center"/>
    </xf>
    <xf numFmtId="0" fontId="32" fillId="0" borderId="101" xfId="59" applyNumberFormat="1" applyFont="1" applyFill="1" applyBorder="1" applyAlignment="1">
      <alignment horizontal="center" vertical="center"/>
    </xf>
    <xf numFmtId="164" fontId="31" fillId="48" borderId="41" xfId="59" applyFont="1" applyFill="1" applyBorder="1" applyAlignment="1">
      <alignment horizontal="center" vertical="center"/>
    </xf>
    <xf numFmtId="0" fontId="31" fillId="48" borderId="49" xfId="59" applyNumberFormat="1" applyFont="1" applyFill="1" applyBorder="1" applyAlignment="1">
      <alignment horizontal="center" vertical="center"/>
    </xf>
    <xf numFmtId="0" fontId="32" fillId="0" borderId="0" xfId="58" applyNumberFormat="1" applyFont="1" applyFill="1" applyBorder="1" applyAlignment="1">
      <alignment vertical="center"/>
    </xf>
    <xf numFmtId="164" fontId="32" fillId="0" borderId="0" xfId="59" applyFont="1" applyFill="1" applyBorder="1" applyAlignment="1">
      <alignment vertical="center"/>
    </xf>
    <xf numFmtId="44" fontId="55" fillId="48" borderId="100" xfId="58" applyNumberFormat="1" applyFont="1" applyFill="1" applyBorder="1" applyAlignment="1">
      <alignment vertical="center"/>
    </xf>
    <xf numFmtId="164" fontId="31" fillId="48" borderId="101" xfId="59" applyFont="1" applyFill="1" applyBorder="1" applyAlignment="1">
      <alignment vertical="center"/>
    </xf>
    <xf numFmtId="0" fontId="40" fillId="0" borderId="33" xfId="0" applyFont="1" applyFill="1" applyBorder="1" applyAlignment="1">
      <alignment horizontal="center" vertical="center" wrapText="1"/>
    </xf>
    <xf numFmtId="0" fontId="40" fillId="0" borderId="35" xfId="0" applyFont="1" applyFill="1" applyBorder="1" applyAlignment="1">
      <alignment horizontal="center" vertical="center" wrapText="1"/>
    </xf>
    <xf numFmtId="0" fontId="40" fillId="0" borderId="21" xfId="0" applyFont="1" applyFill="1" applyBorder="1" applyAlignment="1">
      <alignment horizontal="center" vertical="center" wrapText="1"/>
    </xf>
    <xf numFmtId="0" fontId="40" fillId="0" borderId="22" xfId="0" applyFont="1" applyFill="1" applyBorder="1" applyAlignment="1">
      <alignment horizontal="center" vertical="center" wrapText="1"/>
    </xf>
    <xf numFmtId="0" fontId="40" fillId="0" borderId="21" xfId="0" applyFont="1" applyFill="1" applyBorder="1" applyAlignment="1">
      <alignment horizontal="left" vertical="center" wrapText="1"/>
    </xf>
    <xf numFmtId="0" fontId="40" fillId="0" borderId="22" xfId="0" applyFont="1" applyFill="1" applyBorder="1" applyAlignment="1">
      <alignment horizontal="left" vertical="center" wrapText="1"/>
    </xf>
    <xf numFmtId="0" fontId="40" fillId="0" borderId="70" xfId="0" applyFont="1" applyFill="1" applyBorder="1" applyAlignment="1">
      <alignment horizontal="left" vertical="center" wrapText="1"/>
    </xf>
    <xf numFmtId="0" fontId="40" fillId="0" borderId="25" xfId="0" applyFont="1" applyFill="1" applyBorder="1" applyAlignment="1">
      <alignment horizontal="left" vertical="center" wrapText="1"/>
    </xf>
    <xf numFmtId="0" fontId="39" fillId="42" borderId="13" xfId="0" applyFont="1" applyFill="1" applyBorder="1" applyAlignment="1">
      <alignment horizontal="center" vertical="center" wrapText="1"/>
    </xf>
    <xf numFmtId="0" fontId="39" fillId="42" borderId="66" xfId="0" applyFont="1" applyFill="1" applyBorder="1" applyAlignment="1">
      <alignment horizontal="center" vertical="center" wrapText="1"/>
    </xf>
    <xf numFmtId="0" fontId="39" fillId="42" borderId="83" xfId="0" applyFont="1" applyFill="1" applyBorder="1" applyAlignment="1">
      <alignment horizontal="center" vertical="center" wrapText="1"/>
    </xf>
    <xf numFmtId="0" fontId="39" fillId="42" borderId="63" xfId="0" applyFont="1" applyFill="1" applyBorder="1" applyAlignment="1">
      <alignment horizontal="center" vertical="center" wrapText="1"/>
    </xf>
    <xf numFmtId="0" fontId="40" fillId="0" borderId="45" xfId="0" applyFont="1" applyFill="1" applyBorder="1" applyAlignment="1">
      <alignment horizontal="center" vertical="center" wrapText="1"/>
    </xf>
    <xf numFmtId="0" fontId="40" fillId="0" borderId="12" xfId="0" applyFont="1" applyFill="1" applyBorder="1" applyAlignment="1">
      <alignment horizontal="center" vertical="center" wrapText="1"/>
    </xf>
    <xf numFmtId="0" fontId="40" fillId="0" borderId="47" xfId="0" applyFont="1" applyFill="1" applyBorder="1" applyAlignment="1">
      <alignment horizontal="center" vertical="center" wrapText="1"/>
    </xf>
    <xf numFmtId="0" fontId="41" fillId="0" borderId="84" xfId="0" applyFont="1" applyFill="1" applyBorder="1" applyAlignment="1">
      <alignment horizontal="left" vertical="center" wrapText="1"/>
    </xf>
    <xf numFmtId="0" fontId="40" fillId="0" borderId="12" xfId="0" applyFont="1" applyFill="1" applyBorder="1" applyAlignment="1">
      <alignment horizontal="justify" vertical="center" wrapText="1"/>
    </xf>
    <xf numFmtId="0" fontId="41" fillId="0" borderId="49" xfId="0" applyFont="1" applyFill="1" applyBorder="1" applyAlignment="1">
      <alignment horizontal="left" vertical="center" wrapText="1"/>
    </xf>
    <xf numFmtId="0" fontId="41" fillId="0" borderId="50" xfId="0" applyFont="1" applyFill="1" applyBorder="1" applyAlignment="1">
      <alignment horizontal="left" vertical="center" wrapText="1"/>
    </xf>
    <xf numFmtId="0" fontId="31" fillId="43" borderId="56" xfId="33" applyFont="1" applyFill="1" applyBorder="1" applyAlignment="1">
      <alignment horizontal="center" vertical="center"/>
    </xf>
    <xf numFmtId="0" fontId="31" fillId="43" borderId="58" xfId="33" applyFont="1" applyFill="1" applyBorder="1" applyAlignment="1">
      <alignment horizontal="center" vertical="center"/>
    </xf>
    <xf numFmtId="0" fontId="31" fillId="43" borderId="57" xfId="33" applyFont="1" applyFill="1" applyBorder="1" applyAlignment="1">
      <alignment horizontal="center" vertical="center"/>
    </xf>
    <xf numFmtId="0" fontId="27" fillId="0" borderId="87" xfId="33" applyFont="1" applyFill="1" applyBorder="1" applyAlignment="1">
      <alignment horizontal="left" vertical="center"/>
    </xf>
    <xf numFmtId="0" fontId="27" fillId="0" borderId="87" xfId="33" applyFont="1" applyFill="1" applyBorder="1" applyAlignment="1">
      <alignment horizontal="center" vertical="center"/>
    </xf>
    <xf numFmtId="0" fontId="48" fillId="44" borderId="21" xfId="33" applyFont="1" applyFill="1" applyBorder="1" applyAlignment="1">
      <alignment horizontal="center" vertical="center" wrapText="1"/>
    </xf>
    <xf numFmtId="0" fontId="48" fillId="44" borderId="0" xfId="33" applyFont="1" applyFill="1" applyBorder="1" applyAlignment="1">
      <alignment horizontal="center" vertical="center" wrapText="1"/>
    </xf>
    <xf numFmtId="0" fontId="48" fillId="44" borderId="22" xfId="33" applyFont="1" applyFill="1" applyBorder="1" applyAlignment="1">
      <alignment horizontal="center" vertical="center" wrapText="1"/>
    </xf>
    <xf numFmtId="0" fontId="34" fillId="43" borderId="61" xfId="48" applyFont="1" applyFill="1" applyBorder="1" applyAlignment="1">
      <alignment horizontal="center" vertical="center" wrapText="1"/>
    </xf>
    <xf numFmtId="0" fontId="34" fillId="43" borderId="69" xfId="48" applyFont="1" applyFill="1" applyBorder="1" applyAlignment="1">
      <alignment horizontal="center" vertical="center" wrapText="1"/>
    </xf>
    <xf numFmtId="0" fontId="34" fillId="43" borderId="60" xfId="48" applyFont="1" applyFill="1" applyBorder="1" applyAlignment="1">
      <alignment horizontal="center" vertical="center" wrapText="1"/>
    </xf>
    <xf numFmtId="0" fontId="34" fillId="43" borderId="68" xfId="48" applyFont="1" applyFill="1" applyBorder="1" applyAlignment="1">
      <alignment horizontal="center" vertical="center" wrapText="1"/>
    </xf>
    <xf numFmtId="0" fontId="34" fillId="43" borderId="11" xfId="48" applyFont="1" applyFill="1" applyBorder="1" applyAlignment="1">
      <alignment horizontal="center" vertical="center" wrapText="1"/>
    </xf>
    <xf numFmtId="0" fontId="37" fillId="43" borderId="65" xfId="48" applyFont="1" applyFill="1" applyBorder="1" applyAlignment="1">
      <alignment horizontal="center" vertical="center" wrapText="1"/>
    </xf>
    <xf numFmtId="0" fontId="34" fillId="43" borderId="55" xfId="48" applyFont="1" applyFill="1" applyBorder="1" applyAlignment="1">
      <alignment horizontal="center" vertical="center" wrapText="1"/>
    </xf>
    <xf numFmtId="0" fontId="34" fillId="43" borderId="20" xfId="48" applyFont="1" applyFill="1" applyBorder="1" applyAlignment="1">
      <alignment horizontal="center" vertical="center" wrapText="1"/>
    </xf>
    <xf numFmtId="0" fontId="34" fillId="43" borderId="40" xfId="48" applyFont="1" applyFill="1" applyBorder="1" applyAlignment="1">
      <alignment horizontal="center" vertical="center" wrapText="1"/>
    </xf>
    <xf numFmtId="0" fontId="34" fillId="43" borderId="37" xfId="48" applyFont="1" applyFill="1" applyBorder="1" applyAlignment="1">
      <alignment horizontal="center" vertical="center" wrapText="1"/>
    </xf>
    <xf numFmtId="0" fontId="31" fillId="42" borderId="76" xfId="48" applyFont="1" applyFill="1" applyBorder="1" applyAlignment="1">
      <alignment horizontal="center" vertical="center"/>
    </xf>
    <xf numFmtId="0" fontId="31" fillId="42" borderId="88" xfId="48" applyFont="1" applyFill="1" applyBorder="1" applyAlignment="1">
      <alignment horizontal="center" vertical="center"/>
    </xf>
    <xf numFmtId="0" fontId="31" fillId="42" borderId="77" xfId="48" applyFont="1" applyFill="1" applyBorder="1" applyAlignment="1">
      <alignment horizontal="center" vertical="center"/>
    </xf>
    <xf numFmtId="0" fontId="31" fillId="42" borderId="71" xfId="56" applyFont="1" applyFill="1" applyBorder="1" applyAlignment="1">
      <alignment horizontal="right" vertical="center"/>
    </xf>
    <xf numFmtId="0" fontId="31" fillId="42" borderId="72" xfId="56" applyFont="1" applyFill="1" applyBorder="1" applyAlignment="1">
      <alignment horizontal="right" vertical="center"/>
    </xf>
    <xf numFmtId="0" fontId="31" fillId="42" borderId="75" xfId="56" applyFont="1" applyFill="1" applyBorder="1" applyAlignment="1">
      <alignment horizontal="right" vertical="center"/>
    </xf>
    <xf numFmtId="0" fontId="34" fillId="43" borderId="44" xfId="48" applyFont="1" applyFill="1" applyBorder="1" applyAlignment="1">
      <alignment horizontal="center" vertical="center" wrapText="1"/>
    </xf>
    <xf numFmtId="0" fontId="34" fillId="43" borderId="42" xfId="48" applyFont="1" applyFill="1" applyBorder="1" applyAlignment="1">
      <alignment horizontal="center" vertical="center" wrapText="1"/>
    </xf>
    <xf numFmtId="0" fontId="34" fillId="43" borderId="46" xfId="48" applyFont="1" applyFill="1" applyBorder="1" applyAlignment="1">
      <alignment horizontal="center" vertical="center" wrapText="1"/>
    </xf>
    <xf numFmtId="0" fontId="31" fillId="42" borderId="56" xfId="56" applyFont="1" applyFill="1" applyBorder="1" applyAlignment="1">
      <alignment horizontal="right" vertical="center"/>
    </xf>
    <xf numFmtId="0" fontId="31" fillId="42" borderId="58" xfId="56" applyFont="1" applyFill="1" applyBorder="1" applyAlignment="1">
      <alignment horizontal="right" vertical="center"/>
    </xf>
    <xf numFmtId="0" fontId="31" fillId="42" borderId="57" xfId="56" applyFont="1" applyFill="1" applyBorder="1" applyAlignment="1">
      <alignment horizontal="right" vertical="center"/>
    </xf>
    <xf numFmtId="0" fontId="32" fillId="0" borderId="81" xfId="56" applyFont="1" applyFill="1" applyBorder="1" applyAlignment="1">
      <alignment horizontal="center" vertical="center"/>
    </xf>
    <xf numFmtId="0" fontId="32" fillId="0" borderId="84" xfId="56" applyFont="1" applyFill="1" applyBorder="1" applyAlignment="1">
      <alignment horizontal="center" vertical="center"/>
    </xf>
    <xf numFmtId="0" fontId="32" fillId="0" borderId="64" xfId="56" applyFont="1" applyFill="1" applyBorder="1" applyAlignment="1">
      <alignment horizontal="center" vertical="center"/>
    </xf>
    <xf numFmtId="0" fontId="32" fillId="0" borderId="78" xfId="56" applyFont="1" applyFill="1" applyBorder="1" applyAlignment="1">
      <alignment horizontal="center" vertical="center"/>
    </xf>
    <xf numFmtId="0" fontId="34" fillId="43" borderId="91" xfId="48" applyFont="1" applyFill="1" applyBorder="1" applyAlignment="1">
      <alignment horizontal="center" vertical="center" wrapText="1"/>
    </xf>
    <xf numFmtId="0" fontId="34" fillId="43" borderId="45" xfId="48" applyFont="1" applyFill="1" applyBorder="1" applyAlignment="1">
      <alignment horizontal="center" vertical="center" wrapText="1"/>
    </xf>
    <xf numFmtId="0" fontId="34" fillId="43" borderId="89" xfId="48" applyFont="1" applyFill="1" applyBorder="1" applyAlignment="1">
      <alignment horizontal="center" vertical="center" wrapText="1"/>
    </xf>
    <xf numFmtId="0" fontId="34" fillId="43" borderId="90" xfId="48" applyFont="1" applyFill="1" applyBorder="1" applyAlignment="1">
      <alignment horizontal="center" vertical="center" wrapText="1"/>
    </xf>
    <xf numFmtId="0" fontId="34" fillId="43" borderId="19" xfId="48" applyFont="1" applyFill="1" applyBorder="1" applyAlignment="1">
      <alignment horizontal="center" vertical="center" wrapText="1"/>
    </xf>
    <xf numFmtId="0" fontId="34" fillId="43" borderId="92" xfId="48" applyFont="1" applyFill="1" applyBorder="1" applyAlignment="1">
      <alignment horizontal="center" vertical="center" wrapText="1"/>
    </xf>
    <xf numFmtId="0" fontId="34" fillId="43" borderId="93" xfId="48" applyFont="1" applyFill="1" applyBorder="1" applyAlignment="1">
      <alignment horizontal="center" vertical="center" wrapText="1"/>
    </xf>
    <xf numFmtId="0" fontId="34" fillId="43" borderId="85" xfId="48" applyFont="1" applyFill="1" applyBorder="1" applyAlignment="1">
      <alignment horizontal="center" vertical="center" wrapText="1"/>
    </xf>
    <xf numFmtId="0" fontId="34" fillId="43" borderId="31" xfId="48" applyFont="1" applyFill="1" applyBorder="1" applyAlignment="1">
      <alignment horizontal="center" vertical="center" wrapText="1"/>
    </xf>
    <xf numFmtId="0" fontId="32" fillId="44" borderId="15" xfId="48" applyFont="1" applyFill="1" applyBorder="1" applyAlignment="1">
      <alignment horizontal="center" vertical="center"/>
    </xf>
    <xf numFmtId="0" fontId="32" fillId="44" borderId="0" xfId="48" applyFont="1" applyFill="1" applyBorder="1" applyAlignment="1">
      <alignment horizontal="center" vertical="center"/>
    </xf>
    <xf numFmtId="0" fontId="32" fillId="44" borderId="79" xfId="48" applyFont="1" applyFill="1" applyBorder="1" applyAlignment="1">
      <alignment horizontal="center" vertical="center"/>
    </xf>
    <xf numFmtId="0" fontId="32" fillId="44" borderId="24" xfId="48" applyFont="1" applyFill="1" applyBorder="1" applyAlignment="1">
      <alignment horizontal="center" vertical="center"/>
    </xf>
    <xf numFmtId="0" fontId="32" fillId="0" borderId="46" xfId="48" applyFont="1" applyFill="1" applyBorder="1" applyAlignment="1">
      <alignment horizontal="center" vertical="center"/>
    </xf>
    <xf numFmtId="0" fontId="32" fillId="0" borderId="50" xfId="48" applyFont="1" applyFill="1" applyBorder="1" applyAlignment="1">
      <alignment horizontal="center" vertical="center"/>
    </xf>
    <xf numFmtId="0" fontId="32" fillId="0" borderId="85" xfId="48" applyFont="1" applyFill="1" applyBorder="1" applyAlignment="1">
      <alignment horizontal="center" vertical="center"/>
    </xf>
    <xf numFmtId="0" fontId="32" fillId="0" borderId="31" xfId="48" applyFont="1" applyFill="1" applyBorder="1" applyAlignment="1">
      <alignment horizontal="center" vertical="center"/>
    </xf>
    <xf numFmtId="0" fontId="31" fillId="42" borderId="71" xfId="48" applyFont="1" applyFill="1" applyBorder="1" applyAlignment="1">
      <alignment horizontal="right" vertical="center"/>
    </xf>
    <xf numFmtId="0" fontId="31" fillId="42" borderId="72" xfId="48" applyFont="1" applyFill="1" applyBorder="1" applyAlignment="1">
      <alignment horizontal="right" vertical="center"/>
    </xf>
    <xf numFmtId="0" fontId="31" fillId="42" borderId="73" xfId="48" applyFont="1" applyFill="1" applyBorder="1" applyAlignment="1">
      <alignment horizontal="right" vertical="center"/>
    </xf>
    <xf numFmtId="0" fontId="27" fillId="0" borderId="17" xfId="50" applyFont="1" applyBorder="1" applyAlignment="1" applyProtection="1">
      <alignment horizontal="left" vertical="center"/>
    </xf>
    <xf numFmtId="0" fontId="27" fillId="0" borderId="18" xfId="50" applyFont="1" applyBorder="1" applyAlignment="1" applyProtection="1">
      <alignment horizontal="left" vertical="center"/>
    </xf>
    <xf numFmtId="0" fontId="27" fillId="25" borderId="10" xfId="50" applyFont="1" applyFill="1" applyBorder="1" applyAlignment="1" applyProtection="1">
      <alignment horizontal="center" vertical="center"/>
    </xf>
    <xf numFmtId="0" fontId="27" fillId="0" borderId="17" xfId="50" applyFont="1" applyBorder="1" applyAlignment="1" applyProtection="1">
      <alignment horizontal="center" vertical="center"/>
    </xf>
    <xf numFmtId="0" fontId="27" fillId="0" borderId="20" xfId="50" applyFont="1" applyBorder="1" applyAlignment="1" applyProtection="1">
      <alignment horizontal="center" vertical="center"/>
    </xf>
    <xf numFmtId="0" fontId="27" fillId="0" borderId="21" xfId="50" applyFont="1" applyBorder="1" applyAlignment="1" applyProtection="1">
      <alignment horizontal="justify" vertical="center"/>
    </xf>
    <xf numFmtId="0" fontId="27" fillId="0" borderId="0" xfId="50" applyFont="1" applyBorder="1" applyAlignment="1" applyProtection="1">
      <alignment horizontal="justify" vertical="center"/>
    </xf>
    <xf numFmtId="0" fontId="27" fillId="0" borderId="22" xfId="50" applyFont="1" applyBorder="1" applyAlignment="1" applyProtection="1">
      <alignment horizontal="justify" vertical="center"/>
    </xf>
    <xf numFmtId="0" fontId="27" fillId="0" borderId="23" xfId="50" applyFont="1" applyBorder="1" applyAlignment="1" applyProtection="1">
      <alignment horizontal="justify" vertical="center"/>
    </xf>
    <xf numFmtId="0" fontId="27" fillId="0" borderId="24" xfId="50" applyFont="1" applyBorder="1" applyAlignment="1" applyProtection="1">
      <alignment horizontal="justify" vertical="center"/>
    </xf>
    <xf numFmtId="0" fontId="27" fillId="0" borderId="25" xfId="50" applyFont="1" applyBorder="1" applyAlignment="1" applyProtection="1">
      <alignment horizontal="justify" vertical="center"/>
    </xf>
    <xf numFmtId="0" fontId="27" fillId="26" borderId="12" xfId="50" applyFont="1" applyFill="1" applyBorder="1" applyAlignment="1" applyProtection="1">
      <alignment horizontal="center" vertical="center" wrapText="1"/>
    </xf>
    <xf numFmtId="0" fontId="27" fillId="26" borderId="26" xfId="50" applyFont="1" applyFill="1" applyBorder="1" applyAlignment="1" applyProtection="1">
      <alignment horizontal="center" vertical="center" wrapText="1"/>
    </xf>
    <xf numFmtId="0" fontId="27" fillId="26" borderId="27" xfId="50" applyFont="1" applyFill="1" applyBorder="1" applyAlignment="1" applyProtection="1">
      <alignment horizontal="center" vertical="center" wrapText="1"/>
    </xf>
    <xf numFmtId="0" fontId="27" fillId="26" borderId="28" xfId="50" applyFont="1" applyFill="1" applyBorder="1" applyAlignment="1" applyProtection="1">
      <alignment horizontal="center" vertical="center" wrapText="1"/>
    </xf>
    <xf numFmtId="0" fontId="28" fillId="0" borderId="29" xfId="50" applyFont="1" applyBorder="1" applyAlignment="1" applyProtection="1">
      <alignment horizontal="right" vertical="center" wrapText="1"/>
    </xf>
    <xf numFmtId="0" fontId="28" fillId="0" borderId="30" xfId="50" applyFont="1" applyBorder="1" applyAlignment="1" applyProtection="1">
      <alignment horizontal="right" vertical="center" wrapText="1"/>
    </xf>
    <xf numFmtId="0" fontId="28" fillId="0" borderId="26" xfId="50" applyFont="1" applyBorder="1" applyAlignment="1" applyProtection="1">
      <alignment horizontal="right" vertical="center" wrapText="1"/>
    </xf>
    <xf numFmtId="0" fontId="27" fillId="0" borderId="30" xfId="50" applyFont="1" applyBorder="1" applyAlignment="1" applyProtection="1">
      <alignment horizontal="center" vertical="center" wrapText="1"/>
    </xf>
    <xf numFmtId="0" fontId="27" fillId="0" borderId="31" xfId="50" applyFont="1" applyBorder="1" applyAlignment="1" applyProtection="1">
      <alignment horizontal="center" vertical="center" wrapText="1"/>
    </xf>
    <xf numFmtId="0" fontId="28" fillId="0" borderId="15" xfId="0" applyFont="1" applyBorder="1" applyAlignment="1" applyProtection="1">
      <alignment horizontal="left" vertical="center"/>
    </xf>
    <xf numFmtId="0" fontId="28" fillId="0" borderId="0" xfId="0" applyFont="1" applyBorder="1" applyAlignment="1" applyProtection="1">
      <alignment horizontal="left" vertical="center"/>
    </xf>
    <xf numFmtId="0" fontId="28" fillId="0" borderId="16" xfId="0" applyFont="1" applyBorder="1" applyAlignment="1" applyProtection="1">
      <alignment horizontal="left" vertical="center"/>
    </xf>
    <xf numFmtId="0" fontId="28" fillId="0" borderId="40" xfId="0" applyFont="1" applyBorder="1" applyAlignment="1" applyProtection="1">
      <alignment horizontal="left" vertical="center"/>
    </xf>
    <xf numFmtId="0" fontId="28" fillId="0" borderId="19" xfId="0" applyFont="1" applyBorder="1" applyAlignment="1" applyProtection="1">
      <alignment horizontal="left" vertical="center"/>
    </xf>
    <xf numFmtId="0" fontId="28" fillId="0" borderId="52" xfId="0" applyFont="1" applyBorder="1" applyAlignment="1" applyProtection="1">
      <alignment horizontal="left" vertical="center"/>
    </xf>
    <xf numFmtId="0" fontId="27" fillId="0" borderId="30" xfId="50" applyFont="1" applyBorder="1" applyAlignment="1" applyProtection="1">
      <alignment horizontal="center" vertical="center"/>
    </xf>
    <xf numFmtId="0" fontId="27" fillId="0" borderId="31" xfId="50" applyFont="1" applyBorder="1" applyAlignment="1" applyProtection="1">
      <alignment horizontal="center" vertical="center"/>
    </xf>
    <xf numFmtId="0" fontId="28" fillId="0" borderId="29" xfId="50" applyFont="1" applyBorder="1" applyAlignment="1" applyProtection="1">
      <alignment horizontal="right" vertical="center"/>
    </xf>
    <xf numFmtId="0" fontId="28" fillId="0" borderId="30" xfId="50" applyFont="1" applyBorder="1" applyAlignment="1" applyProtection="1">
      <alignment horizontal="right" vertical="center"/>
    </xf>
    <xf numFmtId="0" fontId="28" fillId="0" borderId="26" xfId="50" applyFont="1" applyBorder="1" applyAlignment="1" applyProtection="1">
      <alignment horizontal="right" vertical="center"/>
    </xf>
    <xf numFmtId="0" fontId="27" fillId="0" borderId="32" xfId="50" applyFont="1" applyBorder="1" applyAlignment="1" applyProtection="1">
      <alignment horizontal="center" vertical="center" wrapText="1"/>
    </xf>
    <xf numFmtId="0" fontId="27" fillId="0" borderId="33" xfId="50" applyFont="1" applyBorder="1" applyAlignment="1" applyProtection="1">
      <alignment horizontal="justify" vertical="center" wrapText="1"/>
    </xf>
    <xf numFmtId="0" fontId="27" fillId="0" borderId="34" xfId="50" applyFont="1" applyBorder="1" applyAlignment="1" applyProtection="1">
      <alignment horizontal="justify" vertical="center" wrapText="1"/>
    </xf>
    <xf numFmtId="0" fontId="27" fillId="0" borderId="35" xfId="50" applyFont="1" applyBorder="1" applyAlignment="1" applyProtection="1">
      <alignment horizontal="justify" vertical="center" wrapText="1"/>
    </xf>
    <xf numFmtId="0" fontId="27" fillId="0" borderId="36" xfId="50" applyFont="1" applyBorder="1" applyAlignment="1" applyProtection="1">
      <alignment horizontal="justify" vertical="center" wrapText="1"/>
    </xf>
    <xf numFmtId="0" fontId="27" fillId="0" borderId="19" xfId="50" applyFont="1" applyBorder="1" applyAlignment="1" applyProtection="1">
      <alignment horizontal="justify" vertical="center" wrapText="1"/>
    </xf>
    <xf numFmtId="0" fontId="27" fillId="0" borderId="37" xfId="50" applyFont="1" applyBorder="1" applyAlignment="1" applyProtection="1">
      <alignment horizontal="justify" vertical="center" wrapText="1"/>
    </xf>
    <xf numFmtId="0" fontId="27" fillId="27" borderId="15" xfId="50" applyFont="1" applyFill="1" applyBorder="1" applyAlignment="1" applyProtection="1">
      <alignment horizontal="center" vertical="center"/>
    </xf>
    <xf numFmtId="0" fontId="27" fillId="27" borderId="22" xfId="50" applyFont="1" applyFill="1" applyBorder="1" applyAlignment="1" applyProtection="1">
      <alignment horizontal="center" vertical="center"/>
    </xf>
    <xf numFmtId="168" fontId="27" fillId="28" borderId="15" xfId="31" applyNumberFormat="1" applyFont="1" applyFill="1" applyBorder="1" applyAlignment="1" applyProtection="1">
      <alignment horizontal="center" vertical="center"/>
    </xf>
    <xf numFmtId="168" fontId="27" fillId="28" borderId="22" xfId="31" applyNumberFormat="1" applyFont="1" applyFill="1" applyBorder="1" applyAlignment="1" applyProtection="1">
      <alignment horizontal="center" vertical="center"/>
    </xf>
    <xf numFmtId="14" fontId="27" fillId="29" borderId="15" xfId="50" applyNumberFormat="1" applyFont="1" applyFill="1" applyBorder="1" applyAlignment="1" applyProtection="1">
      <alignment horizontal="center" vertical="center"/>
    </xf>
    <xf numFmtId="14" fontId="27" fillId="29" borderId="22" xfId="50" applyNumberFormat="1" applyFont="1" applyFill="1" applyBorder="1" applyAlignment="1" applyProtection="1">
      <alignment horizontal="center" vertical="center"/>
    </xf>
    <xf numFmtId="0" fontId="27" fillId="26" borderId="38" xfId="50" applyFont="1" applyFill="1" applyBorder="1" applyAlignment="1" applyProtection="1">
      <alignment horizontal="center" vertical="center"/>
    </xf>
    <xf numFmtId="0" fontId="27" fillId="26" borderId="26" xfId="50" applyFont="1" applyFill="1" applyBorder="1" applyAlignment="1" applyProtection="1">
      <alignment horizontal="center" vertical="center"/>
    </xf>
    <xf numFmtId="0" fontId="27" fillId="26" borderId="27" xfId="50" applyFont="1" applyFill="1" applyBorder="1" applyAlignment="1" applyProtection="1">
      <alignment horizontal="center" vertical="center"/>
    </xf>
    <xf numFmtId="0" fontId="27" fillId="26" borderId="28" xfId="50" applyFont="1" applyFill="1" applyBorder="1" applyAlignment="1" applyProtection="1">
      <alignment horizontal="center" vertical="center"/>
    </xf>
    <xf numFmtId="168" fontId="27" fillId="0" borderId="39" xfId="31" applyNumberFormat="1" applyFont="1" applyBorder="1" applyAlignment="1" applyProtection="1">
      <alignment horizontal="center" vertical="center"/>
    </xf>
    <xf numFmtId="168" fontId="27" fillId="0" borderId="35" xfId="31" applyNumberFormat="1" applyFont="1" applyBorder="1" applyAlignment="1" applyProtection="1">
      <alignment horizontal="center" vertical="center"/>
    </xf>
    <xf numFmtId="0" fontId="27" fillId="0" borderId="40" xfId="50" applyFont="1" applyBorder="1" applyAlignment="1" applyProtection="1">
      <alignment horizontal="center" vertical="center" wrapText="1"/>
    </xf>
    <xf numFmtId="0" fontId="27" fillId="0" borderId="37" xfId="50" applyFont="1" applyBorder="1" applyAlignment="1" applyProtection="1">
      <alignment horizontal="center" vertical="center" wrapText="1"/>
    </xf>
    <xf numFmtId="0" fontId="28" fillId="0" borderId="41" xfId="0" applyFont="1" applyBorder="1" applyAlignment="1" applyProtection="1">
      <alignment horizontal="left" vertical="center"/>
    </xf>
    <xf numFmtId="0" fontId="28" fillId="0" borderId="42" xfId="0" applyFont="1" applyBorder="1" applyAlignment="1" applyProtection="1">
      <alignment horizontal="left" vertical="center"/>
    </xf>
    <xf numFmtId="0" fontId="27" fillId="0" borderId="29" xfId="50" applyFont="1" applyBorder="1" applyAlignment="1" applyProtection="1">
      <alignment horizontal="center" vertical="center" wrapText="1"/>
    </xf>
    <xf numFmtId="0" fontId="27" fillId="30" borderId="27" xfId="50" applyFont="1" applyFill="1" applyBorder="1" applyAlignment="1" applyProtection="1">
      <alignment horizontal="center" vertical="center"/>
    </xf>
    <xf numFmtId="0" fontId="27" fillId="0" borderId="15" xfId="50" applyFont="1" applyBorder="1" applyAlignment="1" applyProtection="1">
      <alignment horizontal="center" vertical="center"/>
    </xf>
    <xf numFmtId="0" fontId="27" fillId="0" borderId="22" xfId="50" applyFont="1" applyBorder="1" applyAlignment="1" applyProtection="1">
      <alignment horizontal="center" vertical="center"/>
    </xf>
    <xf numFmtId="1" fontId="27" fillId="0" borderId="15" xfId="50" applyNumberFormat="1" applyFont="1" applyBorder="1" applyAlignment="1" applyProtection="1">
      <alignment horizontal="center" vertical="center"/>
    </xf>
    <xf numFmtId="1" fontId="27" fillId="0" borderId="22" xfId="50" applyNumberFormat="1" applyFont="1" applyBorder="1" applyAlignment="1" applyProtection="1">
      <alignment horizontal="center" vertical="center"/>
    </xf>
    <xf numFmtId="0" fontId="27" fillId="0" borderId="30" xfId="0" applyFont="1" applyBorder="1" applyAlignment="1" applyProtection="1">
      <alignment horizontal="right" vertical="center"/>
      <protection locked="0"/>
    </xf>
    <xf numFmtId="0" fontId="27" fillId="31" borderId="29" xfId="0" applyFont="1" applyFill="1" applyBorder="1" applyAlignment="1" applyProtection="1">
      <alignment horizontal="right" vertical="center"/>
    </xf>
    <xf numFmtId="0" fontId="27" fillId="31" borderId="30" xfId="0" applyFont="1" applyFill="1" applyBorder="1" applyAlignment="1" applyProtection="1">
      <alignment horizontal="right" vertical="center"/>
    </xf>
    <xf numFmtId="0" fontId="27" fillId="31" borderId="26" xfId="0" applyFont="1" applyFill="1" applyBorder="1" applyAlignment="1" applyProtection="1">
      <alignment horizontal="right" vertical="center"/>
    </xf>
    <xf numFmtId="0" fontId="27" fillId="30" borderId="29" xfId="0" applyFont="1" applyFill="1" applyBorder="1" applyAlignment="1" applyProtection="1">
      <alignment horizontal="left" vertical="center"/>
    </xf>
    <xf numFmtId="0" fontId="27" fillId="30" borderId="30" xfId="0" applyFont="1" applyFill="1" applyBorder="1" applyAlignment="1" applyProtection="1">
      <alignment horizontal="left" vertical="center"/>
    </xf>
    <xf numFmtId="0" fontId="27" fillId="30" borderId="31" xfId="0" applyFont="1" applyFill="1" applyBorder="1" applyAlignment="1" applyProtection="1">
      <alignment horizontal="left" vertical="center"/>
    </xf>
    <xf numFmtId="0" fontId="28" fillId="0" borderId="39" xfId="0" applyFont="1" applyBorder="1" applyAlignment="1" applyProtection="1">
      <alignment horizontal="left" vertical="center"/>
    </xf>
    <xf numFmtId="0" fontId="28" fillId="0" borderId="34" xfId="0" applyFont="1" applyBorder="1" applyAlignment="1" applyProtection="1">
      <alignment horizontal="left" vertical="center"/>
    </xf>
    <xf numFmtId="0" fontId="28" fillId="0" borderId="48" xfId="0" applyFont="1" applyBorder="1" applyAlignment="1" applyProtection="1">
      <alignment horizontal="left" vertical="center"/>
    </xf>
    <xf numFmtId="0" fontId="27" fillId="31" borderId="38" xfId="50" applyFont="1" applyFill="1" applyBorder="1" applyAlignment="1" applyProtection="1">
      <alignment horizontal="right" vertical="center"/>
    </xf>
    <xf numFmtId="0" fontId="27" fillId="31" borderId="26" xfId="50" applyFont="1" applyFill="1" applyBorder="1" applyAlignment="1" applyProtection="1">
      <alignment horizontal="right" vertical="center"/>
    </xf>
    <xf numFmtId="0" fontId="27" fillId="31" borderId="27" xfId="50" applyFont="1" applyFill="1" applyBorder="1" applyAlignment="1" applyProtection="1">
      <alignment horizontal="right" vertical="center"/>
    </xf>
    <xf numFmtId="0" fontId="28" fillId="0" borderId="39" xfId="50" applyFont="1" applyBorder="1" applyAlignment="1" applyProtection="1">
      <alignment vertical="center"/>
    </xf>
    <xf numFmtId="0" fontId="28" fillId="0" borderId="34" xfId="50" applyFont="1" applyBorder="1" applyAlignment="1" applyProtection="1">
      <alignment vertical="center"/>
    </xf>
    <xf numFmtId="0" fontId="28" fillId="0" borderId="15" xfId="50" applyFont="1" applyBorder="1" applyAlignment="1" applyProtection="1">
      <alignment vertical="center"/>
    </xf>
    <xf numFmtId="0" fontId="28" fillId="0" borderId="0" xfId="50" applyFont="1" applyBorder="1" applyAlignment="1" applyProtection="1">
      <alignment vertical="center"/>
    </xf>
    <xf numFmtId="0" fontId="27" fillId="32" borderId="33" xfId="50" applyFont="1" applyFill="1" applyBorder="1" applyAlignment="1" applyProtection="1">
      <alignment horizontal="left" vertical="center"/>
    </xf>
    <xf numFmtId="0" fontId="27" fillId="32" borderId="34" xfId="50" applyFont="1" applyFill="1" applyBorder="1" applyAlignment="1" applyProtection="1">
      <alignment horizontal="left" vertical="center"/>
    </xf>
    <xf numFmtId="0" fontId="27" fillId="32" borderId="21" xfId="50" applyFont="1" applyFill="1" applyBorder="1" applyAlignment="1" applyProtection="1">
      <alignment horizontal="left" vertical="center"/>
    </xf>
    <xf numFmtId="0" fontId="27" fillId="32" borderId="0" xfId="50" applyFont="1" applyFill="1" applyBorder="1" applyAlignment="1" applyProtection="1">
      <alignment horizontal="left" vertical="center"/>
    </xf>
    <xf numFmtId="0" fontId="27" fillId="32" borderId="16" xfId="50" applyFont="1" applyFill="1" applyBorder="1" applyAlignment="1" applyProtection="1">
      <alignment horizontal="left" vertical="center"/>
    </xf>
    <xf numFmtId="0" fontId="27" fillId="31" borderId="29" xfId="50" applyFont="1" applyFill="1" applyBorder="1" applyAlignment="1" applyProtection="1">
      <alignment horizontal="right" vertical="center"/>
    </xf>
    <xf numFmtId="0" fontId="27" fillId="31" borderId="30" xfId="50" applyFont="1" applyFill="1" applyBorder="1" applyAlignment="1" applyProtection="1">
      <alignment horizontal="right" vertical="center"/>
    </xf>
    <xf numFmtId="0" fontId="28" fillId="0" borderId="40" xfId="50" applyFont="1" applyBorder="1" applyAlignment="1" applyProtection="1">
      <alignment horizontal="left" vertical="center"/>
    </xf>
    <xf numFmtId="0" fontId="28" fillId="0" borderId="19" xfId="50" applyFont="1" applyBorder="1" applyAlignment="1" applyProtection="1">
      <alignment horizontal="left" vertical="center"/>
    </xf>
    <xf numFmtId="0" fontId="38" fillId="0" borderId="39" xfId="0" applyFont="1" applyBorder="1" applyAlignment="1" applyProtection="1">
      <alignment horizontal="left" vertical="center"/>
    </xf>
    <xf numFmtId="0" fontId="28" fillId="0" borderId="39" xfId="50" applyFont="1" applyBorder="1" applyAlignment="1" applyProtection="1">
      <alignment horizontal="left" vertical="center"/>
    </xf>
    <xf numFmtId="0" fontId="28" fillId="0" borderId="34" xfId="50" applyFont="1" applyBorder="1" applyAlignment="1" applyProtection="1">
      <alignment horizontal="left" vertical="center"/>
    </xf>
    <xf numFmtId="0" fontId="28" fillId="0" borderId="15" xfId="50" applyFont="1" applyBorder="1" applyAlignment="1" applyProtection="1">
      <alignment horizontal="left" vertical="center"/>
    </xf>
    <xf numFmtId="0" fontId="28" fillId="0" borderId="0" xfId="50" applyFont="1" applyBorder="1" applyAlignment="1" applyProtection="1">
      <alignment horizontal="left" vertical="center"/>
    </xf>
    <xf numFmtId="0" fontId="27" fillId="31" borderId="38" xfId="0" applyFont="1" applyFill="1" applyBorder="1" applyAlignment="1" applyProtection="1">
      <alignment horizontal="right" vertical="center"/>
    </xf>
    <xf numFmtId="0" fontId="27" fillId="30" borderId="29" xfId="50" applyFont="1" applyFill="1" applyBorder="1" applyAlignment="1" applyProtection="1">
      <alignment horizontal="left" vertical="center"/>
    </xf>
    <xf numFmtId="0" fontId="27" fillId="30" borderId="30" xfId="50" applyFont="1" applyFill="1" applyBorder="1" applyAlignment="1" applyProtection="1">
      <alignment horizontal="left" vertical="center"/>
    </xf>
    <xf numFmtId="0" fontId="27" fillId="30" borderId="31" xfId="50" applyFont="1" applyFill="1" applyBorder="1" applyAlignment="1" applyProtection="1">
      <alignment horizontal="left" vertical="center"/>
    </xf>
    <xf numFmtId="0" fontId="38" fillId="0" borderId="15" xfId="0" applyFont="1" applyBorder="1" applyAlignment="1" applyProtection="1">
      <alignment horizontal="left" vertical="center"/>
    </xf>
    <xf numFmtId="0" fontId="49" fillId="30" borderId="29" xfId="0" applyFont="1" applyFill="1" applyBorder="1" applyAlignment="1" applyProtection="1">
      <alignment horizontal="left" vertical="center"/>
    </xf>
    <xf numFmtId="0" fontId="49" fillId="30" borderId="30" xfId="0" applyFont="1" applyFill="1" applyBorder="1" applyAlignment="1" applyProtection="1">
      <alignment horizontal="left" vertical="center"/>
    </xf>
    <xf numFmtId="0" fontId="49" fillId="30" borderId="31" xfId="0" applyFont="1" applyFill="1" applyBorder="1" applyAlignment="1" applyProtection="1">
      <alignment horizontal="left" vertical="center"/>
    </xf>
    <xf numFmtId="0" fontId="27" fillId="34" borderId="29" xfId="50" applyFont="1" applyFill="1" applyBorder="1" applyAlignment="1" applyProtection="1">
      <alignment horizontal="center" vertical="center"/>
    </xf>
    <xf numFmtId="0" fontId="27" fillId="34" borderId="30" xfId="50" applyFont="1" applyFill="1" applyBorder="1" applyAlignment="1" applyProtection="1">
      <alignment horizontal="center" vertical="center"/>
    </xf>
    <xf numFmtId="0" fontId="27" fillId="34" borderId="31" xfId="50" applyFont="1" applyFill="1" applyBorder="1" applyAlignment="1" applyProtection="1">
      <alignment horizontal="center" vertical="center"/>
    </xf>
    <xf numFmtId="0" fontId="49" fillId="30" borderId="29" xfId="50" applyFont="1" applyFill="1" applyBorder="1" applyAlignment="1" applyProtection="1">
      <alignment horizontal="left" vertical="center"/>
    </xf>
    <xf numFmtId="0" fontId="49" fillId="30" borderId="30" xfId="50" applyFont="1" applyFill="1" applyBorder="1" applyAlignment="1" applyProtection="1">
      <alignment horizontal="left" vertical="center"/>
    </xf>
    <xf numFmtId="0" fontId="49" fillId="30" borderId="31" xfId="50" applyFont="1" applyFill="1" applyBorder="1" applyAlignment="1" applyProtection="1">
      <alignment horizontal="left" vertical="center"/>
    </xf>
    <xf numFmtId="0" fontId="38" fillId="0" borderId="39" xfId="50" applyFont="1" applyBorder="1" applyAlignment="1" applyProtection="1">
      <alignment horizontal="left" vertical="center"/>
    </xf>
    <xf numFmtId="0" fontId="38" fillId="0" borderId="34" xfId="50" applyFont="1" applyBorder="1" applyAlignment="1" applyProtection="1">
      <alignment horizontal="left" vertical="center"/>
    </xf>
    <xf numFmtId="0" fontId="27" fillId="32" borderId="51" xfId="50" applyFont="1" applyFill="1" applyBorder="1" applyAlignment="1" applyProtection="1">
      <alignment horizontal="left" vertical="center"/>
    </xf>
    <xf numFmtId="0" fontId="27" fillId="32" borderId="19" xfId="50" applyFont="1" applyFill="1" applyBorder="1" applyAlignment="1" applyProtection="1">
      <alignment horizontal="left" vertical="center"/>
    </xf>
    <xf numFmtId="0" fontId="38" fillId="0" borderId="32" xfId="50" applyFont="1" applyBorder="1" applyAlignment="1" applyProtection="1">
      <alignment horizontal="left" vertical="center"/>
    </xf>
    <xf numFmtId="0" fontId="38" fillId="0" borderId="30" xfId="50" applyFont="1" applyBorder="1" applyAlignment="1" applyProtection="1">
      <alignment horizontal="left" vertical="center"/>
    </xf>
    <xf numFmtId="0" fontId="38" fillId="0" borderId="26" xfId="50" applyFont="1" applyBorder="1" applyAlignment="1" applyProtection="1">
      <alignment horizontal="left" vertical="center"/>
    </xf>
    <xf numFmtId="0" fontId="27" fillId="35" borderId="0" xfId="50" applyFont="1" applyFill="1" applyBorder="1" applyAlignment="1" applyProtection="1">
      <alignment horizontal="left" vertical="center"/>
    </xf>
    <xf numFmtId="0" fontId="27" fillId="35" borderId="24" xfId="50" applyFont="1" applyFill="1" applyBorder="1" applyAlignment="1" applyProtection="1">
      <alignment horizontal="left" vertical="center"/>
    </xf>
    <xf numFmtId="0" fontId="38" fillId="0" borderId="34" xfId="0" applyFont="1" applyBorder="1" applyAlignment="1" applyProtection="1">
      <alignment horizontal="left" vertical="center"/>
    </xf>
    <xf numFmtId="0" fontId="27" fillId="0" borderId="40" xfId="50" applyFont="1" applyBorder="1" applyAlignment="1" applyProtection="1">
      <alignment horizontal="right" vertical="center"/>
    </xf>
    <xf numFmtId="0" fontId="27" fillId="0" borderId="19" xfId="50" applyFont="1" applyBorder="1" applyAlignment="1" applyProtection="1">
      <alignment horizontal="right" vertical="center"/>
    </xf>
    <xf numFmtId="0" fontId="27" fillId="0" borderId="15" xfId="50" applyFont="1" applyBorder="1" applyAlignment="1" applyProtection="1">
      <alignment horizontal="left" vertical="center"/>
    </xf>
    <xf numFmtId="0" fontId="27" fillId="0" borderId="0" xfId="50" applyFont="1" applyBorder="1" applyAlignment="1" applyProtection="1">
      <alignment horizontal="left" vertical="center"/>
    </xf>
    <xf numFmtId="0" fontId="27" fillId="32" borderId="48" xfId="50" applyFont="1" applyFill="1" applyBorder="1" applyAlignment="1" applyProtection="1">
      <alignment horizontal="left" vertical="center"/>
    </xf>
    <xf numFmtId="0" fontId="27" fillId="32" borderId="21" xfId="50" applyFont="1" applyFill="1" applyBorder="1" applyAlignment="1" applyProtection="1">
      <alignment horizontal="right" vertical="center"/>
    </xf>
    <xf numFmtId="0" fontId="27" fillId="32" borderId="0" xfId="50" applyFont="1" applyFill="1" applyBorder="1" applyAlignment="1" applyProtection="1">
      <alignment horizontal="right" vertical="center"/>
    </xf>
    <xf numFmtId="0" fontId="27" fillId="32" borderId="16" xfId="50" applyFont="1" applyFill="1" applyBorder="1" applyAlignment="1" applyProtection="1">
      <alignment horizontal="right" vertical="center"/>
    </xf>
    <xf numFmtId="0" fontId="27" fillId="32" borderId="52" xfId="50" applyFont="1" applyFill="1" applyBorder="1" applyAlignment="1" applyProtection="1">
      <alignment horizontal="left" vertical="center"/>
    </xf>
    <xf numFmtId="0" fontId="52" fillId="47" borderId="70" xfId="0" applyFont="1" applyFill="1" applyBorder="1" applyAlignment="1" applyProtection="1">
      <alignment horizontal="center" vertical="center"/>
    </xf>
    <xf numFmtId="0" fontId="52" fillId="47" borderId="24" xfId="0" applyFont="1" applyFill="1" applyBorder="1" applyAlignment="1" applyProtection="1">
      <alignment horizontal="center" vertical="center"/>
    </xf>
    <xf numFmtId="0" fontId="52" fillId="47" borderId="53" xfId="0" applyFont="1" applyFill="1" applyBorder="1" applyAlignment="1" applyProtection="1">
      <alignment horizontal="center" vertical="center"/>
    </xf>
    <xf numFmtId="0" fontId="31" fillId="0" borderId="62" xfId="0" applyFont="1" applyBorder="1" applyAlignment="1" applyProtection="1">
      <alignment horizontal="center" vertical="center" wrapText="1"/>
    </xf>
    <xf numFmtId="0" fontId="31" fillId="0" borderId="59" xfId="0" applyFont="1" applyBorder="1" applyAlignment="1" applyProtection="1">
      <alignment horizontal="center" vertical="center" wrapText="1"/>
    </xf>
    <xf numFmtId="0" fontId="31" fillId="0" borderId="67" xfId="0" applyFont="1" applyBorder="1" applyAlignment="1" applyProtection="1">
      <alignment horizontal="center" vertical="center" wrapText="1"/>
    </xf>
    <xf numFmtId="0" fontId="31" fillId="38" borderId="70" xfId="50" applyFont="1" applyFill="1" applyBorder="1" applyAlignment="1" applyProtection="1">
      <alignment horizontal="center" vertical="center"/>
    </xf>
    <xf numFmtId="0" fontId="31" fillId="38" borderId="24" xfId="50" applyFont="1" applyFill="1" applyBorder="1" applyAlignment="1" applyProtection="1">
      <alignment horizontal="center" vertical="center"/>
    </xf>
    <xf numFmtId="0" fontId="31" fillId="38" borderId="25" xfId="50" applyFont="1" applyFill="1" applyBorder="1" applyAlignment="1" applyProtection="1">
      <alignment horizontal="center" vertical="center"/>
    </xf>
    <xf numFmtId="0" fontId="33" fillId="0" borderId="56" xfId="33" applyFont="1" applyBorder="1" applyAlignment="1">
      <alignment horizontal="center" vertical="center" wrapText="1"/>
    </xf>
    <xf numFmtId="0" fontId="33" fillId="0" borderId="58" xfId="33" applyFont="1" applyBorder="1" applyAlignment="1">
      <alignment horizontal="center" vertical="center" wrapText="1"/>
    </xf>
    <xf numFmtId="0" fontId="33" fillId="0" borderId="57" xfId="33" applyFont="1" applyBorder="1" applyAlignment="1">
      <alignment horizontal="center" vertical="center" wrapText="1"/>
    </xf>
    <xf numFmtId="0" fontId="27" fillId="0" borderId="17" xfId="0" applyFont="1" applyBorder="1" applyAlignment="1" applyProtection="1">
      <alignment horizontal="center" vertical="center" wrapText="1"/>
    </xf>
    <xf numFmtId="0" fontId="27" fillId="0" borderId="18" xfId="0" applyFont="1" applyBorder="1" applyAlignment="1" applyProtection="1">
      <alignment horizontal="center" vertical="center" wrapText="1"/>
    </xf>
    <xf numFmtId="0" fontId="27" fillId="0" borderId="14" xfId="0" applyFont="1" applyBorder="1" applyAlignment="1" applyProtection="1">
      <alignment horizontal="center" vertical="center" wrapText="1"/>
    </xf>
    <xf numFmtId="3" fontId="31" fillId="39" borderId="86" xfId="46" applyNumberFormat="1" applyFont="1" applyFill="1" applyBorder="1" applyAlignment="1" applyProtection="1">
      <alignment horizontal="right" vertical="center"/>
    </xf>
    <xf numFmtId="3" fontId="31" fillId="39" borderId="82" xfId="46" applyNumberFormat="1" applyFont="1" applyFill="1" applyBorder="1" applyAlignment="1" applyProtection="1">
      <alignment horizontal="right" vertical="center"/>
    </xf>
    <xf numFmtId="3" fontId="31" fillId="39" borderId="80" xfId="46" applyNumberFormat="1" applyFont="1" applyFill="1" applyBorder="1" applyAlignment="1" applyProtection="1">
      <alignment horizontal="right" vertical="center"/>
    </xf>
    <xf numFmtId="3" fontId="31" fillId="41" borderId="86" xfId="46" applyNumberFormat="1" applyFont="1" applyFill="1" applyBorder="1" applyAlignment="1" applyProtection="1">
      <alignment horizontal="left" vertical="center"/>
    </xf>
    <xf numFmtId="3" fontId="31" fillId="41" borderId="82" xfId="46" applyNumberFormat="1" applyFont="1" applyFill="1" applyBorder="1" applyAlignment="1" applyProtection="1">
      <alignment horizontal="left" vertical="center"/>
    </xf>
    <xf numFmtId="3" fontId="31" fillId="41" borderId="31" xfId="46" applyNumberFormat="1" applyFont="1" applyFill="1" applyBorder="1" applyAlignment="1" applyProtection="1">
      <alignment horizontal="left" vertical="center"/>
    </xf>
    <xf numFmtId="0" fontId="31" fillId="41" borderId="86" xfId="0" applyFont="1" applyFill="1" applyBorder="1" applyAlignment="1" applyProtection="1">
      <alignment horizontal="left" vertical="center" wrapText="1"/>
    </xf>
    <xf numFmtId="0" fontId="31" fillId="41" borderId="82" xfId="0" applyFont="1" applyFill="1" applyBorder="1" applyAlignment="1" applyProtection="1">
      <alignment horizontal="left" vertical="center" wrapText="1"/>
    </xf>
    <xf numFmtId="0" fontId="31" fillId="41" borderId="31" xfId="0" applyFont="1" applyFill="1" applyBorder="1" applyAlignment="1" applyProtection="1">
      <alignment horizontal="left" vertical="center" wrapText="1"/>
    </xf>
    <xf numFmtId="3" fontId="31" fillId="47" borderId="86" xfId="46" applyNumberFormat="1" applyFont="1" applyFill="1" applyBorder="1" applyAlignment="1" applyProtection="1">
      <alignment horizontal="right" vertical="center"/>
    </xf>
    <xf numFmtId="3" fontId="31" fillId="47" borderId="82" xfId="46" applyNumberFormat="1" applyFont="1" applyFill="1" applyBorder="1" applyAlignment="1" applyProtection="1">
      <alignment horizontal="right" vertical="center"/>
    </xf>
    <xf numFmtId="0" fontId="32" fillId="0" borderId="85" xfId="0" applyFont="1" applyFill="1" applyBorder="1" applyAlignment="1">
      <alignment horizontal="center"/>
    </xf>
    <xf numFmtId="0" fontId="32" fillId="0" borderId="82" xfId="0" applyFont="1" applyFill="1" applyBorder="1" applyAlignment="1">
      <alignment horizontal="center"/>
    </xf>
    <xf numFmtId="0" fontId="32" fillId="0" borderId="80" xfId="0" applyFont="1" applyFill="1" applyBorder="1" applyAlignment="1">
      <alignment horizontal="center"/>
    </xf>
    <xf numFmtId="0" fontId="53" fillId="38" borderId="95" xfId="50" applyFont="1" applyFill="1" applyBorder="1" applyAlignment="1" applyProtection="1">
      <alignment horizontal="center" vertical="center"/>
    </xf>
    <xf numFmtId="0" fontId="53" fillId="38" borderId="96" xfId="50" applyFont="1" applyFill="1" applyBorder="1" applyAlignment="1" applyProtection="1">
      <alignment horizontal="center" vertical="center"/>
    </xf>
    <xf numFmtId="0" fontId="53" fillId="38" borderId="97" xfId="50" applyFont="1" applyFill="1" applyBorder="1" applyAlignment="1" applyProtection="1">
      <alignment horizontal="center" vertical="center"/>
    </xf>
    <xf numFmtId="172" fontId="31" fillId="0" borderId="51" xfId="58" applyFont="1" applyFill="1" applyBorder="1" applyAlignment="1">
      <alignment horizontal="left" vertical="center"/>
    </xf>
    <xf numFmtId="172" fontId="31" fillId="0" borderId="19" xfId="58" applyFont="1" applyFill="1" applyBorder="1" applyAlignment="1">
      <alignment horizontal="left" vertical="center"/>
    </xf>
    <xf numFmtId="172" fontId="31" fillId="0" borderId="52" xfId="58" applyFont="1" applyFill="1" applyBorder="1" applyAlignment="1">
      <alignment horizontal="left" vertical="center"/>
    </xf>
    <xf numFmtId="164" fontId="31" fillId="0" borderId="40" xfId="59" applyFont="1" applyFill="1" applyBorder="1" applyAlignment="1">
      <alignment horizontal="center" vertical="center"/>
    </xf>
    <xf numFmtId="164" fontId="31" fillId="0" borderId="19" xfId="59" applyFont="1" applyFill="1" applyBorder="1" applyAlignment="1">
      <alignment horizontal="center" vertical="center"/>
    </xf>
    <xf numFmtId="164" fontId="31" fillId="0" borderId="37" xfId="59" applyFont="1" applyFill="1" applyBorder="1" applyAlignment="1">
      <alignment horizontal="center" vertical="center"/>
    </xf>
    <xf numFmtId="172" fontId="31" fillId="43" borderId="86" xfId="58" applyFont="1" applyFill="1" applyBorder="1" applyAlignment="1">
      <alignment horizontal="justify" vertical="center" wrapText="1"/>
    </xf>
    <xf numFmtId="172" fontId="31" fillId="43" borderId="82" xfId="58" applyFont="1" applyFill="1" applyBorder="1" applyAlignment="1">
      <alignment horizontal="justify" vertical="center" wrapText="1"/>
    </xf>
    <xf numFmtId="172" fontId="31" fillId="43" borderId="31" xfId="58" applyFont="1" applyFill="1" applyBorder="1" applyAlignment="1">
      <alignment horizontal="justify" vertical="center" wrapText="1"/>
    </xf>
    <xf numFmtId="172" fontId="54" fillId="0" borderId="85" xfId="58" applyFont="1" applyFill="1" applyBorder="1" applyAlignment="1">
      <alignment horizontal="center" vertical="center"/>
    </xf>
    <xf numFmtId="172" fontId="54" fillId="0" borderId="82" xfId="58" applyFont="1" applyFill="1" applyBorder="1" applyAlignment="1">
      <alignment horizontal="center" vertical="center"/>
    </xf>
    <xf numFmtId="172" fontId="54" fillId="0" borderId="80" xfId="58" applyFont="1" applyFill="1" applyBorder="1" applyAlignment="1">
      <alignment horizontal="center" vertical="center"/>
    </xf>
    <xf numFmtId="172" fontId="54" fillId="0" borderId="85" xfId="58" applyFont="1" applyFill="1" applyBorder="1" applyAlignment="1">
      <alignment horizontal="left" vertical="center"/>
    </xf>
    <xf numFmtId="172" fontId="54" fillId="0" borderId="82" xfId="58" applyFont="1" applyFill="1" applyBorder="1" applyAlignment="1">
      <alignment horizontal="left" vertical="center"/>
    </xf>
    <xf numFmtId="172" fontId="54" fillId="0" borderId="80" xfId="58" applyFont="1" applyFill="1" applyBorder="1" applyAlignment="1">
      <alignment horizontal="left" vertical="center"/>
    </xf>
    <xf numFmtId="172" fontId="55" fillId="48" borderId="56" xfId="58" applyFont="1" applyFill="1" applyBorder="1" applyAlignment="1">
      <alignment horizontal="center" vertical="center"/>
    </xf>
    <xf numFmtId="172" fontId="55" fillId="48" borderId="58" xfId="58" applyFont="1" applyFill="1" applyBorder="1" applyAlignment="1">
      <alignment horizontal="center" vertical="center"/>
    </xf>
    <xf numFmtId="172" fontId="55" fillId="48" borderId="57" xfId="58" applyFont="1" applyFill="1" applyBorder="1" applyAlignment="1">
      <alignment horizontal="center" vertical="center"/>
    </xf>
    <xf numFmtId="172" fontId="54" fillId="0" borderId="40" xfId="58" applyFont="1" applyFill="1" applyBorder="1" applyAlignment="1">
      <alignment horizontal="center" vertical="center"/>
    </xf>
    <xf numFmtId="172" fontId="54" fillId="0" borderId="19" xfId="58" applyFont="1" applyFill="1" applyBorder="1" applyAlignment="1">
      <alignment horizontal="center" vertical="center"/>
    </xf>
    <xf numFmtId="172" fontId="54" fillId="0" borderId="52" xfId="58" applyFont="1" applyFill="1" applyBorder="1" applyAlignment="1">
      <alignment horizontal="center" vertical="center"/>
    </xf>
    <xf numFmtId="172" fontId="55" fillId="48" borderId="62" xfId="58" applyFont="1" applyFill="1" applyBorder="1" applyAlignment="1">
      <alignment horizontal="center" vertical="center"/>
    </xf>
    <xf numFmtId="172" fontId="55" fillId="48" borderId="59" xfId="58" applyFont="1" applyFill="1" applyBorder="1" applyAlignment="1">
      <alignment horizontal="center" vertical="center"/>
    </xf>
    <xf numFmtId="172" fontId="55" fillId="48" borderId="102" xfId="58" applyFont="1" applyFill="1" applyBorder="1" applyAlignment="1">
      <alignment horizontal="center" vertical="center"/>
    </xf>
    <xf numFmtId="172" fontId="55" fillId="48" borderId="70" xfId="58" applyFont="1" applyFill="1" applyBorder="1" applyAlignment="1">
      <alignment horizontal="center" vertical="center"/>
    </xf>
    <xf numFmtId="172" fontId="55" fillId="48" borderId="24" xfId="58" applyFont="1" applyFill="1" applyBorder="1" applyAlignment="1">
      <alignment horizontal="center" vertical="center"/>
    </xf>
    <xf numFmtId="172" fontId="55" fillId="48" borderId="53" xfId="58" applyFont="1" applyFill="1" applyBorder="1" applyAlignment="1">
      <alignment horizontal="center" vertical="center"/>
    </xf>
    <xf numFmtId="172" fontId="54" fillId="0" borderId="85" xfId="58" applyFont="1" applyFill="1" applyBorder="1" applyAlignment="1">
      <alignment horizontal="left" vertical="center" wrapText="1"/>
    </xf>
    <xf numFmtId="172" fontId="54" fillId="0" borderId="99" xfId="58" applyFont="1" applyFill="1" applyBorder="1" applyAlignment="1">
      <alignment horizontal="left" vertical="center"/>
    </xf>
    <xf numFmtId="172" fontId="54" fillId="0" borderId="88" xfId="58" applyFont="1" applyFill="1" applyBorder="1" applyAlignment="1">
      <alignment horizontal="left" vertical="center"/>
    </xf>
    <xf numFmtId="172" fontId="54" fillId="0" borderId="94" xfId="58" applyFont="1" applyFill="1" applyBorder="1" applyAlignment="1">
      <alignment horizontal="left" vertical="center"/>
    </xf>
  </cellXfs>
  <cellStyles count="64">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2" xfId="47"/>
    <cellStyle name="Moeda 3" xfId="31"/>
    <cellStyle name="Moeda 4" xfId="59"/>
    <cellStyle name="Moeda_ITEM 1 - COLETA" xfId="46"/>
    <cellStyle name="Neutra" xfId="32" builtinId="28" customBuiltin="1"/>
    <cellStyle name="Normal" xfId="0" builtinId="0"/>
    <cellStyle name="Normal 2" xfId="33"/>
    <cellStyle name="Normal 3" xfId="48"/>
    <cellStyle name="Normal 4" xfId="53"/>
    <cellStyle name="Normal 4 2" xfId="56"/>
    <cellStyle name="Normal 4 3" xfId="60"/>
    <cellStyle name="Normal 4 4" xfId="63"/>
    <cellStyle name="Normal 5" xfId="50"/>
    <cellStyle name="Normal 6" xfId="54"/>
    <cellStyle name="Normal 7" xfId="58"/>
    <cellStyle name="Normal 8" xfId="62"/>
    <cellStyle name="Nota" xfId="34" builtinId="10" customBuiltin="1"/>
    <cellStyle name="Porcentagem" xfId="52" builtinId="5"/>
    <cellStyle name="Porcentagem 2" xfId="35"/>
    <cellStyle name="Saída" xfId="36" builtinId="21" customBuiltin="1"/>
    <cellStyle name="TableStyleLight1" xfId="55"/>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9"/>
    <cellStyle name="Vírgula 2 2" xfId="61"/>
    <cellStyle name="Vírgula 3" xfId="51"/>
    <cellStyle name="Vírgula 3 2" xfId="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8EA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8"/>
  <sheetViews>
    <sheetView tabSelected="1" view="pageBreakPreview" zoomScaleNormal="100" zoomScaleSheetLayoutView="100" workbookViewId="0">
      <selection sqref="A1:B2"/>
    </sheetView>
  </sheetViews>
  <sheetFormatPr defaultColWidth="9.140625" defaultRowHeight="12.75" x14ac:dyDescent="0.2"/>
  <cols>
    <col min="1" max="1" width="36.7109375" style="145" customWidth="1"/>
    <col min="2" max="2" width="98.5703125" style="125" customWidth="1"/>
    <col min="3" max="9" width="9.140625" style="125"/>
    <col min="10" max="10" width="15.85546875" style="125" customWidth="1"/>
    <col min="11" max="16384" width="9.140625" style="125"/>
  </cols>
  <sheetData>
    <row r="1" spans="1:2" ht="12.75" customHeight="1" x14ac:dyDescent="0.2">
      <c r="A1" s="292" t="s">
        <v>233</v>
      </c>
      <c r="B1" s="293"/>
    </row>
    <row r="2" spans="1:2" ht="13.5" thickBot="1" x14ac:dyDescent="0.25">
      <c r="A2" s="294"/>
      <c r="B2" s="295"/>
    </row>
    <row r="3" spans="1:2" ht="121.5" x14ac:dyDescent="0.2">
      <c r="A3" s="296" t="s">
        <v>234</v>
      </c>
      <c r="B3" s="126" t="s">
        <v>235</v>
      </c>
    </row>
    <row r="4" spans="1:2" ht="30" x14ac:dyDescent="0.2">
      <c r="A4" s="297"/>
      <c r="B4" s="126" t="s">
        <v>236</v>
      </c>
    </row>
    <row r="5" spans="1:2" ht="60" x14ac:dyDescent="0.2">
      <c r="A5" s="297"/>
      <c r="B5" s="126" t="s">
        <v>237</v>
      </c>
    </row>
    <row r="6" spans="1:2" ht="45" x14ac:dyDescent="0.2">
      <c r="A6" s="297"/>
      <c r="B6" s="126" t="s">
        <v>238</v>
      </c>
    </row>
    <row r="7" spans="1:2" ht="32.25" customHeight="1" x14ac:dyDescent="0.2">
      <c r="A7" s="298" t="s">
        <v>239</v>
      </c>
      <c r="B7" s="299" t="s">
        <v>240</v>
      </c>
    </row>
    <row r="8" spans="1:2" ht="45" customHeight="1" x14ac:dyDescent="0.2">
      <c r="A8" s="296"/>
      <c r="B8" s="299"/>
    </row>
    <row r="9" spans="1:2" ht="45.75" customHeight="1" x14ac:dyDescent="0.2">
      <c r="A9" s="127" t="s">
        <v>241</v>
      </c>
      <c r="B9" s="128" t="s">
        <v>270</v>
      </c>
    </row>
    <row r="10" spans="1:2" ht="54" customHeight="1" x14ac:dyDescent="0.2">
      <c r="A10" s="127" t="s">
        <v>242</v>
      </c>
      <c r="B10" s="128" t="s">
        <v>243</v>
      </c>
    </row>
    <row r="11" spans="1:2" ht="165.75" x14ac:dyDescent="0.2">
      <c r="A11" s="127" t="s">
        <v>244</v>
      </c>
      <c r="B11" s="128" t="s">
        <v>245</v>
      </c>
    </row>
    <row r="12" spans="1:2" ht="45" x14ac:dyDescent="0.2">
      <c r="A12" s="127" t="s">
        <v>246</v>
      </c>
      <c r="B12" s="128" t="s">
        <v>247</v>
      </c>
    </row>
    <row r="13" spans="1:2" ht="38.25" customHeight="1" x14ac:dyDescent="0.2">
      <c r="A13" s="300" t="s">
        <v>2</v>
      </c>
      <c r="B13" s="301" t="s">
        <v>248</v>
      </c>
    </row>
    <row r="14" spans="1:2" ht="39" customHeight="1" x14ac:dyDescent="0.2">
      <c r="A14" s="300"/>
      <c r="B14" s="302"/>
    </row>
    <row r="15" spans="1:2" ht="31.5" x14ac:dyDescent="0.2">
      <c r="A15" s="129" t="s">
        <v>249</v>
      </c>
      <c r="B15" s="130" t="s">
        <v>250</v>
      </c>
    </row>
    <row r="16" spans="1:2" ht="45" x14ac:dyDescent="0.2">
      <c r="A16" s="131" t="s">
        <v>251</v>
      </c>
      <c r="B16" s="132" t="s">
        <v>252</v>
      </c>
    </row>
    <row r="17" spans="1:10" ht="96" customHeight="1" x14ac:dyDescent="0.2">
      <c r="A17" s="133" t="s">
        <v>253</v>
      </c>
      <c r="B17" s="134" t="s">
        <v>254</v>
      </c>
    </row>
    <row r="18" spans="1:10" ht="62.25" customHeight="1" x14ac:dyDescent="0.2">
      <c r="A18" s="127" t="s">
        <v>255</v>
      </c>
      <c r="B18" s="135" t="s">
        <v>256</v>
      </c>
      <c r="C18" s="136"/>
      <c r="D18" s="136"/>
      <c r="E18" s="136"/>
      <c r="F18" s="136"/>
      <c r="G18" s="136"/>
      <c r="H18" s="136"/>
      <c r="I18" s="137"/>
      <c r="J18" s="137"/>
    </row>
    <row r="19" spans="1:10" ht="30" x14ac:dyDescent="0.2">
      <c r="A19" s="127" t="s">
        <v>257</v>
      </c>
      <c r="B19" s="138" t="s">
        <v>258</v>
      </c>
    </row>
    <row r="20" spans="1:10" ht="90.75" x14ac:dyDescent="0.2">
      <c r="A20" s="127" t="s">
        <v>133</v>
      </c>
      <c r="B20" s="139" t="s">
        <v>259</v>
      </c>
    </row>
    <row r="21" spans="1:10" ht="150" x14ac:dyDescent="0.2">
      <c r="A21" s="140" t="s">
        <v>260</v>
      </c>
      <c r="B21" s="141" t="s">
        <v>261</v>
      </c>
    </row>
    <row r="22" spans="1:10" ht="135" x14ac:dyDescent="0.2">
      <c r="A22" s="142" t="s">
        <v>262</v>
      </c>
      <c r="B22" s="143" t="s">
        <v>263</v>
      </c>
    </row>
    <row r="23" spans="1:10" ht="150" x14ac:dyDescent="0.2">
      <c r="A23" s="142" t="s">
        <v>264</v>
      </c>
      <c r="B23" s="143" t="s">
        <v>265</v>
      </c>
    </row>
    <row r="24" spans="1:10" ht="47.25" x14ac:dyDescent="0.2">
      <c r="A24" s="140" t="s">
        <v>266</v>
      </c>
      <c r="B24" s="144" t="s">
        <v>267</v>
      </c>
    </row>
    <row r="25" spans="1:10" x14ac:dyDescent="0.2">
      <c r="A25" s="284" t="s">
        <v>268</v>
      </c>
      <c r="B25" s="285"/>
    </row>
    <row r="26" spans="1:10" x14ac:dyDescent="0.2">
      <c r="A26" s="286"/>
      <c r="B26" s="287"/>
    </row>
    <row r="27" spans="1:10" x14ac:dyDescent="0.2">
      <c r="A27" s="288" t="s">
        <v>269</v>
      </c>
      <c r="B27" s="289"/>
    </row>
    <row r="28" spans="1:10" x14ac:dyDescent="0.2">
      <c r="A28" s="288"/>
      <c r="B28" s="289"/>
    </row>
    <row r="29" spans="1:10" x14ac:dyDescent="0.2">
      <c r="A29" s="288"/>
      <c r="B29" s="289"/>
    </row>
    <row r="30" spans="1:10" x14ac:dyDescent="0.2">
      <c r="A30" s="288"/>
      <c r="B30" s="289"/>
    </row>
    <row r="31" spans="1:10" x14ac:dyDescent="0.2">
      <c r="A31" s="288"/>
      <c r="B31" s="289"/>
    </row>
    <row r="32" spans="1:10" x14ac:dyDescent="0.2">
      <c r="A32" s="288"/>
      <c r="B32" s="289"/>
    </row>
    <row r="33" spans="1:2" x14ac:dyDescent="0.2">
      <c r="A33" s="288"/>
      <c r="B33" s="289"/>
    </row>
    <row r="34" spans="1:2" x14ac:dyDescent="0.2">
      <c r="A34" s="288"/>
      <c r="B34" s="289"/>
    </row>
    <row r="35" spans="1:2" x14ac:dyDescent="0.2">
      <c r="A35" s="288"/>
      <c r="B35" s="289"/>
    </row>
    <row r="36" spans="1:2" x14ac:dyDescent="0.2">
      <c r="A36" s="288"/>
      <c r="B36" s="289"/>
    </row>
    <row r="37" spans="1:2" x14ac:dyDescent="0.2">
      <c r="A37" s="288"/>
      <c r="B37" s="289"/>
    </row>
    <row r="38" spans="1:2" ht="13.5" thickBot="1" x14ac:dyDescent="0.25">
      <c r="A38" s="290"/>
      <c r="B38" s="291"/>
    </row>
  </sheetData>
  <mergeCells count="8">
    <mergeCell ref="A25:B26"/>
    <mergeCell ref="A27:B38"/>
    <mergeCell ref="A1:B2"/>
    <mergeCell ref="A3:A6"/>
    <mergeCell ref="A7:A8"/>
    <mergeCell ref="B7:B8"/>
    <mergeCell ref="A13:A14"/>
    <mergeCell ref="B13:B14"/>
  </mergeCells>
  <pageMargins left="0.511811024" right="0.511811024" top="0.78740157499999996" bottom="0.78740157499999996" header="0.31496062000000002" footer="0.31496062000000002"/>
  <pageSetup paperSize="9" scale="70" orientation="portrait" r:id="rId1"/>
  <rowBreaks count="1" manualBreakCount="1">
    <brk id="1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88"/>
  <sheetViews>
    <sheetView view="pageBreakPreview" zoomScaleNormal="100" zoomScaleSheetLayoutView="100" workbookViewId="0">
      <selection sqref="A1:E1"/>
    </sheetView>
  </sheetViews>
  <sheetFormatPr defaultRowHeight="12.75" x14ac:dyDescent="0.2"/>
  <cols>
    <col min="1" max="1" width="55.85546875" style="159" customWidth="1"/>
    <col min="2" max="2" width="11" style="159" customWidth="1"/>
    <col min="3" max="3" width="15" style="159" customWidth="1"/>
    <col min="4" max="4" width="8.5703125" style="159" bestFit="1" customWidth="1"/>
    <col min="5" max="5" width="22.5703125" style="159" customWidth="1"/>
    <col min="6" max="6" width="9.140625" style="173"/>
    <col min="7" max="233" width="9.140625" style="159"/>
    <col min="234" max="234" width="13.5703125" style="159" customWidth="1"/>
    <col min="235" max="235" width="12.85546875" style="159" customWidth="1"/>
    <col min="236" max="236" width="15" style="159" customWidth="1"/>
    <col min="237" max="238" width="13.42578125" style="159" customWidth="1"/>
    <col min="239" max="489" width="9.140625" style="159"/>
    <col min="490" max="490" width="13.5703125" style="159" customWidth="1"/>
    <col min="491" max="491" width="12.85546875" style="159" customWidth="1"/>
    <col min="492" max="492" width="15" style="159" customWidth="1"/>
    <col min="493" max="494" width="13.42578125" style="159" customWidth="1"/>
    <col min="495" max="745" width="9.140625" style="159"/>
    <col min="746" max="746" width="13.5703125" style="159" customWidth="1"/>
    <col min="747" max="747" width="12.85546875" style="159" customWidth="1"/>
    <col min="748" max="748" width="15" style="159" customWidth="1"/>
    <col min="749" max="750" width="13.42578125" style="159" customWidth="1"/>
    <col min="751" max="1001" width="9.140625" style="159"/>
    <col min="1002" max="1002" width="13.5703125" style="159" customWidth="1"/>
    <col min="1003" max="1003" width="12.85546875" style="159" customWidth="1"/>
    <col min="1004" max="1004" width="15" style="159" customWidth="1"/>
    <col min="1005" max="1006" width="13.42578125" style="159" customWidth="1"/>
    <col min="1007" max="1257" width="9.140625" style="159"/>
    <col min="1258" max="1258" width="13.5703125" style="159" customWidth="1"/>
    <col min="1259" max="1259" width="12.85546875" style="159" customWidth="1"/>
    <col min="1260" max="1260" width="15" style="159" customWidth="1"/>
    <col min="1261" max="1262" width="13.42578125" style="159" customWidth="1"/>
    <col min="1263" max="1513" width="9.140625" style="159"/>
    <col min="1514" max="1514" width="13.5703125" style="159" customWidth="1"/>
    <col min="1515" max="1515" width="12.85546875" style="159" customWidth="1"/>
    <col min="1516" max="1516" width="15" style="159" customWidth="1"/>
    <col min="1517" max="1518" width="13.42578125" style="159" customWidth="1"/>
    <col min="1519" max="1769" width="9.140625" style="159"/>
    <col min="1770" max="1770" width="13.5703125" style="159" customWidth="1"/>
    <col min="1771" max="1771" width="12.85546875" style="159" customWidth="1"/>
    <col min="1772" max="1772" width="15" style="159" customWidth="1"/>
    <col min="1773" max="1774" width="13.42578125" style="159" customWidth="1"/>
    <col min="1775" max="2025" width="9.140625" style="159"/>
    <col min="2026" max="2026" width="13.5703125" style="159" customWidth="1"/>
    <col min="2027" max="2027" width="12.85546875" style="159" customWidth="1"/>
    <col min="2028" max="2028" width="15" style="159" customWidth="1"/>
    <col min="2029" max="2030" width="13.42578125" style="159" customWidth="1"/>
    <col min="2031" max="2281" width="9.140625" style="159"/>
    <col min="2282" max="2282" width="13.5703125" style="159" customWidth="1"/>
    <col min="2283" max="2283" width="12.85546875" style="159" customWidth="1"/>
    <col min="2284" max="2284" width="15" style="159" customWidth="1"/>
    <col min="2285" max="2286" width="13.42578125" style="159" customWidth="1"/>
    <col min="2287" max="2537" width="9.140625" style="159"/>
    <col min="2538" max="2538" width="13.5703125" style="159" customWidth="1"/>
    <col min="2539" max="2539" width="12.85546875" style="159" customWidth="1"/>
    <col min="2540" max="2540" width="15" style="159" customWidth="1"/>
    <col min="2541" max="2542" width="13.42578125" style="159" customWidth="1"/>
    <col min="2543" max="2793" width="9.140625" style="159"/>
    <col min="2794" max="2794" width="13.5703125" style="159" customWidth="1"/>
    <col min="2795" max="2795" width="12.85546875" style="159" customWidth="1"/>
    <col min="2796" max="2796" width="15" style="159" customWidth="1"/>
    <col min="2797" max="2798" width="13.42578125" style="159" customWidth="1"/>
    <col min="2799" max="3049" width="9.140625" style="159"/>
    <col min="3050" max="3050" width="13.5703125" style="159" customWidth="1"/>
    <col min="3051" max="3051" width="12.85546875" style="159" customWidth="1"/>
    <col min="3052" max="3052" width="15" style="159" customWidth="1"/>
    <col min="3053" max="3054" width="13.42578125" style="159" customWidth="1"/>
    <col min="3055" max="3305" width="9.140625" style="159"/>
    <col min="3306" max="3306" width="13.5703125" style="159" customWidth="1"/>
    <col min="3307" max="3307" width="12.85546875" style="159" customWidth="1"/>
    <col min="3308" max="3308" width="15" style="159" customWidth="1"/>
    <col min="3309" max="3310" width="13.42578125" style="159" customWidth="1"/>
    <col min="3311" max="3561" width="9.140625" style="159"/>
    <col min="3562" max="3562" width="13.5703125" style="159" customWidth="1"/>
    <col min="3563" max="3563" width="12.85546875" style="159" customWidth="1"/>
    <col min="3564" max="3564" width="15" style="159" customWidth="1"/>
    <col min="3565" max="3566" width="13.42578125" style="159" customWidth="1"/>
    <col min="3567" max="3817" width="9.140625" style="159"/>
    <col min="3818" max="3818" width="13.5703125" style="159" customWidth="1"/>
    <col min="3819" max="3819" width="12.85546875" style="159" customWidth="1"/>
    <col min="3820" max="3820" width="15" style="159" customWidth="1"/>
    <col min="3821" max="3822" width="13.42578125" style="159" customWidth="1"/>
    <col min="3823" max="4073" width="9.140625" style="159"/>
    <col min="4074" max="4074" width="13.5703125" style="159" customWidth="1"/>
    <col min="4075" max="4075" width="12.85546875" style="159" customWidth="1"/>
    <col min="4076" max="4076" width="15" style="159" customWidth="1"/>
    <col min="4077" max="4078" width="13.42578125" style="159" customWidth="1"/>
    <col min="4079" max="4329" width="9.140625" style="159"/>
    <col min="4330" max="4330" width="13.5703125" style="159" customWidth="1"/>
    <col min="4331" max="4331" width="12.85546875" style="159" customWidth="1"/>
    <col min="4332" max="4332" width="15" style="159" customWidth="1"/>
    <col min="4333" max="4334" width="13.42578125" style="159" customWidth="1"/>
    <col min="4335" max="4585" width="9.140625" style="159"/>
    <col min="4586" max="4586" width="13.5703125" style="159" customWidth="1"/>
    <col min="4587" max="4587" width="12.85546875" style="159" customWidth="1"/>
    <col min="4588" max="4588" width="15" style="159" customWidth="1"/>
    <col min="4589" max="4590" width="13.42578125" style="159" customWidth="1"/>
    <col min="4591" max="4841" width="9.140625" style="159"/>
    <col min="4842" max="4842" width="13.5703125" style="159" customWidth="1"/>
    <col min="4843" max="4843" width="12.85546875" style="159" customWidth="1"/>
    <col min="4844" max="4844" width="15" style="159" customWidth="1"/>
    <col min="4845" max="4846" width="13.42578125" style="159" customWidth="1"/>
    <col min="4847" max="5097" width="9.140625" style="159"/>
    <col min="5098" max="5098" width="13.5703125" style="159" customWidth="1"/>
    <col min="5099" max="5099" width="12.85546875" style="159" customWidth="1"/>
    <col min="5100" max="5100" width="15" style="159" customWidth="1"/>
    <col min="5101" max="5102" width="13.42578125" style="159" customWidth="1"/>
    <col min="5103" max="5353" width="9.140625" style="159"/>
    <col min="5354" max="5354" width="13.5703125" style="159" customWidth="1"/>
    <col min="5355" max="5355" width="12.85546875" style="159" customWidth="1"/>
    <col min="5356" max="5356" width="15" style="159" customWidth="1"/>
    <col min="5357" max="5358" width="13.42578125" style="159" customWidth="1"/>
    <col min="5359" max="5609" width="9.140625" style="159"/>
    <col min="5610" max="5610" width="13.5703125" style="159" customWidth="1"/>
    <col min="5611" max="5611" width="12.85546875" style="159" customWidth="1"/>
    <col min="5612" max="5612" width="15" style="159" customWidth="1"/>
    <col min="5613" max="5614" width="13.42578125" style="159" customWidth="1"/>
    <col min="5615" max="5865" width="9.140625" style="159"/>
    <col min="5866" max="5866" width="13.5703125" style="159" customWidth="1"/>
    <col min="5867" max="5867" width="12.85546875" style="159" customWidth="1"/>
    <col min="5868" max="5868" width="15" style="159" customWidth="1"/>
    <col min="5869" max="5870" width="13.42578125" style="159" customWidth="1"/>
    <col min="5871" max="6121" width="9.140625" style="159"/>
    <col min="6122" max="6122" width="13.5703125" style="159" customWidth="1"/>
    <col min="6123" max="6123" width="12.85546875" style="159" customWidth="1"/>
    <col min="6124" max="6124" width="15" style="159" customWidth="1"/>
    <col min="6125" max="6126" width="13.42578125" style="159" customWidth="1"/>
    <col min="6127" max="6377" width="9.140625" style="159"/>
    <col min="6378" max="6378" width="13.5703125" style="159" customWidth="1"/>
    <col min="6379" max="6379" width="12.85546875" style="159" customWidth="1"/>
    <col min="6380" max="6380" width="15" style="159" customWidth="1"/>
    <col min="6381" max="6382" width="13.42578125" style="159" customWidth="1"/>
    <col min="6383" max="6633" width="9.140625" style="159"/>
    <col min="6634" max="6634" width="13.5703125" style="159" customWidth="1"/>
    <col min="6635" max="6635" width="12.85546875" style="159" customWidth="1"/>
    <col min="6636" max="6636" width="15" style="159" customWidth="1"/>
    <col min="6637" max="6638" width="13.42578125" style="159" customWidth="1"/>
    <col min="6639" max="6889" width="9.140625" style="159"/>
    <col min="6890" max="6890" width="13.5703125" style="159" customWidth="1"/>
    <col min="6891" max="6891" width="12.85546875" style="159" customWidth="1"/>
    <col min="6892" max="6892" width="15" style="159" customWidth="1"/>
    <col min="6893" max="6894" width="13.42578125" style="159" customWidth="1"/>
    <col min="6895" max="7145" width="9.140625" style="159"/>
    <col min="7146" max="7146" width="13.5703125" style="159" customWidth="1"/>
    <col min="7147" max="7147" width="12.85546875" style="159" customWidth="1"/>
    <col min="7148" max="7148" width="15" style="159" customWidth="1"/>
    <col min="7149" max="7150" width="13.42578125" style="159" customWidth="1"/>
    <col min="7151" max="7401" width="9.140625" style="159"/>
    <col min="7402" max="7402" width="13.5703125" style="159" customWidth="1"/>
    <col min="7403" max="7403" width="12.85546875" style="159" customWidth="1"/>
    <col min="7404" max="7404" width="15" style="159" customWidth="1"/>
    <col min="7405" max="7406" width="13.42578125" style="159" customWidth="1"/>
    <col min="7407" max="7657" width="9.140625" style="159"/>
    <col min="7658" max="7658" width="13.5703125" style="159" customWidth="1"/>
    <col min="7659" max="7659" width="12.85546875" style="159" customWidth="1"/>
    <col min="7660" max="7660" width="15" style="159" customWidth="1"/>
    <col min="7661" max="7662" width="13.42578125" style="159" customWidth="1"/>
    <col min="7663" max="7913" width="9.140625" style="159"/>
    <col min="7914" max="7914" width="13.5703125" style="159" customWidth="1"/>
    <col min="7915" max="7915" width="12.85546875" style="159" customWidth="1"/>
    <col min="7916" max="7916" width="15" style="159" customWidth="1"/>
    <col min="7917" max="7918" width="13.42578125" style="159" customWidth="1"/>
    <col min="7919" max="8169" width="9.140625" style="159"/>
    <col min="8170" max="8170" width="13.5703125" style="159" customWidth="1"/>
    <col min="8171" max="8171" width="12.85546875" style="159" customWidth="1"/>
    <col min="8172" max="8172" width="15" style="159" customWidth="1"/>
    <col min="8173" max="8174" width="13.42578125" style="159" customWidth="1"/>
    <col min="8175" max="8425" width="9.140625" style="159"/>
    <col min="8426" max="8426" width="13.5703125" style="159" customWidth="1"/>
    <col min="8427" max="8427" width="12.85546875" style="159" customWidth="1"/>
    <col min="8428" max="8428" width="15" style="159" customWidth="1"/>
    <col min="8429" max="8430" width="13.42578125" style="159" customWidth="1"/>
    <col min="8431" max="8681" width="9.140625" style="159"/>
    <col min="8682" max="8682" width="13.5703125" style="159" customWidth="1"/>
    <col min="8683" max="8683" width="12.85546875" style="159" customWidth="1"/>
    <col min="8684" max="8684" width="15" style="159" customWidth="1"/>
    <col min="8685" max="8686" width="13.42578125" style="159" customWidth="1"/>
    <col min="8687" max="8937" width="9.140625" style="159"/>
    <col min="8938" max="8938" width="13.5703125" style="159" customWidth="1"/>
    <col min="8939" max="8939" width="12.85546875" style="159" customWidth="1"/>
    <col min="8940" max="8940" width="15" style="159" customWidth="1"/>
    <col min="8941" max="8942" width="13.42578125" style="159" customWidth="1"/>
    <col min="8943" max="9193" width="9.140625" style="159"/>
    <col min="9194" max="9194" width="13.5703125" style="159" customWidth="1"/>
    <col min="9195" max="9195" width="12.85546875" style="159" customWidth="1"/>
    <col min="9196" max="9196" width="15" style="159" customWidth="1"/>
    <col min="9197" max="9198" width="13.42578125" style="159" customWidth="1"/>
    <col min="9199" max="9449" width="9.140625" style="159"/>
    <col min="9450" max="9450" width="13.5703125" style="159" customWidth="1"/>
    <col min="9451" max="9451" width="12.85546875" style="159" customWidth="1"/>
    <col min="9452" max="9452" width="15" style="159" customWidth="1"/>
    <col min="9453" max="9454" width="13.42578125" style="159" customWidth="1"/>
    <col min="9455" max="9705" width="9.140625" style="159"/>
    <col min="9706" max="9706" width="13.5703125" style="159" customWidth="1"/>
    <col min="9707" max="9707" width="12.85546875" style="159" customWidth="1"/>
    <col min="9708" max="9708" width="15" style="159" customWidth="1"/>
    <col min="9709" max="9710" width="13.42578125" style="159" customWidth="1"/>
    <col min="9711" max="9961" width="9.140625" style="159"/>
    <col min="9962" max="9962" width="13.5703125" style="159" customWidth="1"/>
    <col min="9963" max="9963" width="12.85546875" style="159" customWidth="1"/>
    <col min="9964" max="9964" width="15" style="159" customWidth="1"/>
    <col min="9965" max="9966" width="13.42578125" style="159" customWidth="1"/>
    <col min="9967" max="10217" width="9.140625" style="159"/>
    <col min="10218" max="10218" width="13.5703125" style="159" customWidth="1"/>
    <col min="10219" max="10219" width="12.85546875" style="159" customWidth="1"/>
    <col min="10220" max="10220" width="15" style="159" customWidth="1"/>
    <col min="10221" max="10222" width="13.42578125" style="159" customWidth="1"/>
    <col min="10223" max="10473" width="9.140625" style="159"/>
    <col min="10474" max="10474" width="13.5703125" style="159" customWidth="1"/>
    <col min="10475" max="10475" width="12.85546875" style="159" customWidth="1"/>
    <col min="10476" max="10476" width="15" style="159" customWidth="1"/>
    <col min="10477" max="10478" width="13.42578125" style="159" customWidth="1"/>
    <col min="10479" max="10729" width="9.140625" style="159"/>
    <col min="10730" max="10730" width="13.5703125" style="159" customWidth="1"/>
    <col min="10731" max="10731" width="12.85546875" style="159" customWidth="1"/>
    <col min="10732" max="10732" width="15" style="159" customWidth="1"/>
    <col min="10733" max="10734" width="13.42578125" style="159" customWidth="1"/>
    <col min="10735" max="10985" width="9.140625" style="159"/>
    <col min="10986" max="10986" width="13.5703125" style="159" customWidth="1"/>
    <col min="10987" max="10987" width="12.85546875" style="159" customWidth="1"/>
    <col min="10988" max="10988" width="15" style="159" customWidth="1"/>
    <col min="10989" max="10990" width="13.42578125" style="159" customWidth="1"/>
    <col min="10991" max="11241" width="9.140625" style="159"/>
    <col min="11242" max="11242" width="13.5703125" style="159" customWidth="1"/>
    <col min="11243" max="11243" width="12.85546875" style="159" customWidth="1"/>
    <col min="11244" max="11244" width="15" style="159" customWidth="1"/>
    <col min="11245" max="11246" width="13.42578125" style="159" customWidth="1"/>
    <col min="11247" max="11497" width="9.140625" style="159"/>
    <col min="11498" max="11498" width="13.5703125" style="159" customWidth="1"/>
    <col min="11499" max="11499" width="12.85546875" style="159" customWidth="1"/>
    <col min="11500" max="11500" width="15" style="159" customWidth="1"/>
    <col min="11501" max="11502" width="13.42578125" style="159" customWidth="1"/>
    <col min="11503" max="11753" width="9.140625" style="159"/>
    <col min="11754" max="11754" width="13.5703125" style="159" customWidth="1"/>
    <col min="11755" max="11755" width="12.85546875" style="159" customWidth="1"/>
    <col min="11756" max="11756" width="15" style="159" customWidth="1"/>
    <col min="11757" max="11758" width="13.42578125" style="159" customWidth="1"/>
    <col min="11759" max="12009" width="9.140625" style="159"/>
    <col min="12010" max="12010" width="13.5703125" style="159" customWidth="1"/>
    <col min="12011" max="12011" width="12.85546875" style="159" customWidth="1"/>
    <col min="12012" max="12012" width="15" style="159" customWidth="1"/>
    <col min="12013" max="12014" width="13.42578125" style="159" customWidth="1"/>
    <col min="12015" max="12265" width="9.140625" style="159"/>
    <col min="12266" max="12266" width="13.5703125" style="159" customWidth="1"/>
    <col min="12267" max="12267" width="12.85546875" style="159" customWidth="1"/>
    <col min="12268" max="12268" width="15" style="159" customWidth="1"/>
    <col min="12269" max="12270" width="13.42578125" style="159" customWidth="1"/>
    <col min="12271" max="12521" width="9.140625" style="159"/>
    <col min="12522" max="12522" width="13.5703125" style="159" customWidth="1"/>
    <col min="12523" max="12523" width="12.85546875" style="159" customWidth="1"/>
    <col min="12524" max="12524" width="15" style="159" customWidth="1"/>
    <col min="12525" max="12526" width="13.42578125" style="159" customWidth="1"/>
    <col min="12527" max="12777" width="9.140625" style="159"/>
    <col min="12778" max="12778" width="13.5703125" style="159" customWidth="1"/>
    <col min="12779" max="12779" width="12.85546875" style="159" customWidth="1"/>
    <col min="12780" max="12780" width="15" style="159" customWidth="1"/>
    <col min="12781" max="12782" width="13.42578125" style="159" customWidth="1"/>
    <col min="12783" max="13033" width="9.140625" style="159"/>
    <col min="13034" max="13034" width="13.5703125" style="159" customWidth="1"/>
    <col min="13035" max="13035" width="12.85546875" style="159" customWidth="1"/>
    <col min="13036" max="13036" width="15" style="159" customWidth="1"/>
    <col min="13037" max="13038" width="13.42578125" style="159" customWidth="1"/>
    <col min="13039" max="13289" width="9.140625" style="159"/>
    <col min="13290" max="13290" width="13.5703125" style="159" customWidth="1"/>
    <col min="13291" max="13291" width="12.85546875" style="159" customWidth="1"/>
    <col min="13292" max="13292" width="15" style="159" customWidth="1"/>
    <col min="13293" max="13294" width="13.42578125" style="159" customWidth="1"/>
    <col min="13295" max="13545" width="9.140625" style="159"/>
    <col min="13546" max="13546" width="13.5703125" style="159" customWidth="1"/>
    <col min="13547" max="13547" width="12.85546875" style="159" customWidth="1"/>
    <col min="13548" max="13548" width="15" style="159" customWidth="1"/>
    <col min="13549" max="13550" width="13.42578125" style="159" customWidth="1"/>
    <col min="13551" max="13801" width="9.140625" style="159"/>
    <col min="13802" max="13802" width="13.5703125" style="159" customWidth="1"/>
    <col min="13803" max="13803" width="12.85546875" style="159" customWidth="1"/>
    <col min="13804" max="13804" width="15" style="159" customWidth="1"/>
    <col min="13805" max="13806" width="13.42578125" style="159" customWidth="1"/>
    <col min="13807" max="14057" width="9.140625" style="159"/>
    <col min="14058" max="14058" width="13.5703125" style="159" customWidth="1"/>
    <col min="14059" max="14059" width="12.85546875" style="159" customWidth="1"/>
    <col min="14060" max="14060" width="15" style="159" customWidth="1"/>
    <col min="14061" max="14062" width="13.42578125" style="159" customWidth="1"/>
    <col min="14063" max="14313" width="9.140625" style="159"/>
    <col min="14314" max="14314" width="13.5703125" style="159" customWidth="1"/>
    <col min="14315" max="14315" width="12.85546875" style="159" customWidth="1"/>
    <col min="14316" max="14316" width="15" style="159" customWidth="1"/>
    <col min="14317" max="14318" width="13.42578125" style="159" customWidth="1"/>
    <col min="14319" max="14569" width="9.140625" style="159"/>
    <col min="14570" max="14570" width="13.5703125" style="159" customWidth="1"/>
    <col min="14571" max="14571" width="12.85546875" style="159" customWidth="1"/>
    <col min="14572" max="14572" width="15" style="159" customWidth="1"/>
    <col min="14573" max="14574" width="13.42578125" style="159" customWidth="1"/>
    <col min="14575" max="14825" width="9.140625" style="159"/>
    <col min="14826" max="14826" width="13.5703125" style="159" customWidth="1"/>
    <col min="14827" max="14827" width="12.85546875" style="159" customWidth="1"/>
    <col min="14828" max="14828" width="15" style="159" customWidth="1"/>
    <col min="14829" max="14830" width="13.42578125" style="159" customWidth="1"/>
    <col min="14831" max="15081" width="9.140625" style="159"/>
    <col min="15082" max="15082" width="13.5703125" style="159" customWidth="1"/>
    <col min="15083" max="15083" width="12.85546875" style="159" customWidth="1"/>
    <col min="15084" max="15084" width="15" style="159" customWidth="1"/>
    <col min="15085" max="15086" width="13.42578125" style="159" customWidth="1"/>
    <col min="15087" max="15337" width="9.140625" style="159"/>
    <col min="15338" max="15338" width="13.5703125" style="159" customWidth="1"/>
    <col min="15339" max="15339" width="12.85546875" style="159" customWidth="1"/>
    <col min="15340" max="15340" width="15" style="159" customWidth="1"/>
    <col min="15341" max="15342" width="13.42578125" style="159" customWidth="1"/>
    <col min="15343" max="15593" width="9.140625" style="159"/>
    <col min="15594" max="15594" width="13.5703125" style="159" customWidth="1"/>
    <col min="15595" max="15595" width="12.85546875" style="159" customWidth="1"/>
    <col min="15596" max="15596" width="15" style="159" customWidth="1"/>
    <col min="15597" max="15598" width="13.42578125" style="159" customWidth="1"/>
    <col min="15599" max="15849" width="9.140625" style="159"/>
    <col min="15850" max="15850" width="13.5703125" style="159" customWidth="1"/>
    <col min="15851" max="15851" width="12.85546875" style="159" customWidth="1"/>
    <col min="15852" max="15852" width="15" style="159" customWidth="1"/>
    <col min="15853" max="15854" width="13.42578125" style="159" customWidth="1"/>
    <col min="15855" max="16105" width="9.140625" style="159"/>
    <col min="16106" max="16106" width="13.5703125" style="159" customWidth="1"/>
    <col min="16107" max="16107" width="12.85546875" style="159" customWidth="1"/>
    <col min="16108" max="16108" width="15" style="159" customWidth="1"/>
    <col min="16109" max="16110" width="13.42578125" style="159" customWidth="1"/>
    <col min="16111" max="16384" width="9.140625" style="159"/>
  </cols>
  <sheetData>
    <row r="1" spans="1:8" ht="17.25" thickBot="1" x14ac:dyDescent="0.25">
      <c r="A1" s="303" t="s">
        <v>223</v>
      </c>
      <c r="B1" s="304"/>
      <c r="C1" s="304"/>
      <c r="D1" s="304"/>
      <c r="E1" s="305"/>
      <c r="F1" s="161"/>
      <c r="G1" s="162"/>
      <c r="H1" s="162"/>
    </row>
    <row r="2" spans="1:8" s="163" customFormat="1" ht="16.5" x14ac:dyDescent="0.2">
      <c r="A2" s="306" t="s">
        <v>296</v>
      </c>
      <c r="B2" s="306"/>
      <c r="C2" s="306"/>
      <c r="D2" s="307" t="s">
        <v>291</v>
      </c>
      <c r="E2" s="307"/>
      <c r="F2" s="161"/>
      <c r="G2" s="162"/>
      <c r="H2" s="162"/>
    </row>
    <row r="3" spans="1:8" s="163" customFormat="1" ht="26.25" customHeight="1" thickBot="1" x14ac:dyDescent="0.25">
      <c r="A3" s="308" t="s">
        <v>295</v>
      </c>
      <c r="B3" s="309"/>
      <c r="C3" s="309"/>
      <c r="D3" s="309"/>
      <c r="E3" s="310"/>
      <c r="F3" s="161"/>
      <c r="G3" s="162"/>
      <c r="H3" s="162"/>
    </row>
    <row r="4" spans="1:8" s="164" customFormat="1" ht="13.5" x14ac:dyDescent="0.2">
      <c r="A4" s="311" t="s">
        <v>273</v>
      </c>
      <c r="B4" s="313" t="s">
        <v>141</v>
      </c>
      <c r="C4" s="315" t="s">
        <v>142</v>
      </c>
      <c r="D4" s="317" t="s">
        <v>150</v>
      </c>
      <c r="E4" s="318"/>
      <c r="F4" s="165"/>
      <c r="G4" s="162"/>
      <c r="H4" s="162"/>
    </row>
    <row r="5" spans="1:8" s="164" customFormat="1" ht="14.25" thickBot="1" x14ac:dyDescent="0.25">
      <c r="A5" s="312"/>
      <c r="B5" s="314"/>
      <c r="C5" s="316"/>
      <c r="D5" s="166" t="s">
        <v>143</v>
      </c>
      <c r="E5" s="167" t="s">
        <v>144</v>
      </c>
      <c r="F5" s="165"/>
      <c r="G5" s="162"/>
      <c r="H5" s="162"/>
    </row>
    <row r="6" spans="1:8" s="162" customFormat="1" ht="16.5" x14ac:dyDescent="0.2">
      <c r="A6" s="105" t="s">
        <v>168</v>
      </c>
      <c r="B6" s="106">
        <v>60</v>
      </c>
      <c r="C6" s="213">
        <v>0</v>
      </c>
      <c r="D6" s="106">
        <v>244</v>
      </c>
      <c r="E6" s="109">
        <f>ROUND((C6*D6)/B6,2)</f>
        <v>0</v>
      </c>
      <c r="F6" s="165"/>
    </row>
    <row r="7" spans="1:8" s="162" customFormat="1" ht="16.5" x14ac:dyDescent="0.2">
      <c r="A7" s="104" t="s">
        <v>169</v>
      </c>
      <c r="B7" s="168">
        <v>60</v>
      </c>
      <c r="C7" s="214">
        <v>0</v>
      </c>
      <c r="D7" s="168">
        <v>244</v>
      </c>
      <c r="E7" s="170">
        <f>ROUND((C7*D7)/B7,2)</f>
        <v>0</v>
      </c>
      <c r="F7" s="165"/>
    </row>
    <row r="8" spans="1:8" s="162" customFormat="1" ht="16.5" x14ac:dyDescent="0.2">
      <c r="A8" s="104" t="s">
        <v>170</v>
      </c>
      <c r="B8" s="196">
        <v>60</v>
      </c>
      <c r="C8" s="214">
        <v>0</v>
      </c>
      <c r="D8" s="196">
        <v>244</v>
      </c>
      <c r="E8" s="170">
        <f>ROUND((C8*D8)/B8,2)</f>
        <v>0</v>
      </c>
      <c r="F8" s="165"/>
    </row>
    <row r="9" spans="1:8" s="162" customFormat="1" ht="16.5" x14ac:dyDescent="0.2">
      <c r="A9" s="104" t="s">
        <v>171</v>
      </c>
      <c r="B9" s="196">
        <v>60</v>
      </c>
      <c r="C9" s="214">
        <v>0</v>
      </c>
      <c r="D9" s="196">
        <v>244</v>
      </c>
      <c r="E9" s="170">
        <f>ROUND((C9*D9)/B9,2)</f>
        <v>0</v>
      </c>
      <c r="F9" s="165"/>
    </row>
    <row r="10" spans="1:8" s="162" customFormat="1" ht="16.5" x14ac:dyDescent="0.2">
      <c r="A10" s="104" t="s">
        <v>172</v>
      </c>
      <c r="B10" s="196">
        <v>60</v>
      </c>
      <c r="C10" s="214">
        <v>0</v>
      </c>
      <c r="D10" s="196">
        <v>244</v>
      </c>
      <c r="E10" s="170">
        <f>ROUND((C10*D10)/B10,2)</f>
        <v>0</v>
      </c>
      <c r="F10" s="165"/>
    </row>
    <row r="11" spans="1:8" s="162" customFormat="1" ht="17.25" thickBot="1" x14ac:dyDescent="0.25">
      <c r="A11" s="321" t="s">
        <v>166</v>
      </c>
      <c r="B11" s="322"/>
      <c r="C11" s="323"/>
      <c r="D11" s="171"/>
      <c r="E11" s="172">
        <f>SUM(E6:E10)</f>
        <v>0</v>
      </c>
      <c r="F11" s="165"/>
    </row>
    <row r="12" spans="1:8" s="162" customFormat="1" ht="17.25" thickBot="1" x14ac:dyDescent="0.25">
      <c r="A12" s="324" t="s">
        <v>183</v>
      </c>
      <c r="B12" s="325"/>
      <c r="C12" s="326"/>
      <c r="D12" s="199"/>
      <c r="E12" s="200">
        <f>ROUND((E11/'Estimativa M.O. LICITANTE'!G21),2)</f>
        <v>0</v>
      </c>
      <c r="F12" s="165"/>
    </row>
    <row r="13" spans="1:8" s="162" customFormat="1" ht="13.5" x14ac:dyDescent="0.2">
      <c r="A13" s="311" t="s">
        <v>167</v>
      </c>
      <c r="B13" s="313" t="s">
        <v>141</v>
      </c>
      <c r="C13" s="315" t="s">
        <v>142</v>
      </c>
      <c r="D13" s="317" t="s">
        <v>150</v>
      </c>
      <c r="E13" s="318"/>
      <c r="F13" s="165"/>
    </row>
    <row r="14" spans="1:8" s="162" customFormat="1" ht="14.25" thickBot="1" x14ac:dyDescent="0.25">
      <c r="A14" s="312"/>
      <c r="B14" s="314"/>
      <c r="C14" s="316"/>
      <c r="D14" s="166" t="s">
        <v>143</v>
      </c>
      <c r="E14" s="167" t="s">
        <v>144</v>
      </c>
      <c r="F14" s="165"/>
    </row>
    <row r="15" spans="1:8" s="162" customFormat="1" ht="16.5" x14ac:dyDescent="0.2">
      <c r="A15" s="104" t="s">
        <v>174</v>
      </c>
      <c r="B15" s="168">
        <v>60</v>
      </c>
      <c r="C15" s="214">
        <v>0</v>
      </c>
      <c r="D15" s="219">
        <v>80</v>
      </c>
      <c r="E15" s="170">
        <f t="shared" ref="E15:E25" si="0">ROUND((C15*D15)/B15,2)</f>
        <v>0</v>
      </c>
      <c r="F15" s="165"/>
    </row>
    <row r="16" spans="1:8" s="162" customFormat="1" ht="16.5" x14ac:dyDescent="0.2">
      <c r="A16" s="104" t="s">
        <v>175</v>
      </c>
      <c r="B16" s="168">
        <v>60</v>
      </c>
      <c r="C16" s="214">
        <v>0</v>
      </c>
      <c r="D16" s="219">
        <v>180</v>
      </c>
      <c r="E16" s="170">
        <f t="shared" si="0"/>
        <v>0</v>
      </c>
      <c r="F16" s="165"/>
    </row>
    <row r="17" spans="1:8" s="162" customFormat="1" ht="16.5" x14ac:dyDescent="0.2">
      <c r="A17" s="104" t="s">
        <v>274</v>
      </c>
      <c r="B17" s="168">
        <v>60</v>
      </c>
      <c r="C17" s="214">
        <v>0</v>
      </c>
      <c r="D17" s="219">
        <v>3</v>
      </c>
      <c r="E17" s="170">
        <f t="shared" si="0"/>
        <v>0</v>
      </c>
      <c r="F17" s="165"/>
    </row>
    <row r="18" spans="1:8" s="162" customFormat="1" ht="16.5" x14ac:dyDescent="0.2">
      <c r="A18" s="104" t="s">
        <v>176</v>
      </c>
      <c r="B18" s="168">
        <v>60</v>
      </c>
      <c r="C18" s="214">
        <v>0</v>
      </c>
      <c r="D18" s="219">
        <v>20</v>
      </c>
      <c r="E18" s="170">
        <f t="shared" si="0"/>
        <v>0</v>
      </c>
      <c r="F18" s="165"/>
    </row>
    <row r="19" spans="1:8" s="162" customFormat="1" ht="16.5" x14ac:dyDescent="0.2">
      <c r="A19" s="104" t="s">
        <v>177</v>
      </c>
      <c r="B19" s="168">
        <v>60</v>
      </c>
      <c r="C19" s="214">
        <v>0</v>
      </c>
      <c r="D19" s="219">
        <v>30</v>
      </c>
      <c r="E19" s="170">
        <f t="shared" si="0"/>
        <v>0</v>
      </c>
      <c r="F19" s="173"/>
      <c r="G19" s="159"/>
      <c r="H19" s="159"/>
    </row>
    <row r="20" spans="1:8" s="162" customFormat="1" ht="16.5" x14ac:dyDescent="0.2">
      <c r="A20" s="104" t="s">
        <v>178</v>
      </c>
      <c r="B20" s="168">
        <v>60</v>
      </c>
      <c r="C20" s="214">
        <v>0</v>
      </c>
      <c r="D20" s="219">
        <v>30</v>
      </c>
      <c r="E20" s="170">
        <f t="shared" si="0"/>
        <v>0</v>
      </c>
      <c r="F20" s="174"/>
      <c r="G20" s="175"/>
      <c r="H20" s="175"/>
    </row>
    <row r="21" spans="1:8" s="162" customFormat="1" ht="16.5" x14ac:dyDescent="0.2">
      <c r="A21" s="104" t="s">
        <v>275</v>
      </c>
      <c r="B21" s="168">
        <v>12</v>
      </c>
      <c r="C21" s="214">
        <v>0</v>
      </c>
      <c r="D21" s="219">
        <v>6</v>
      </c>
      <c r="E21" s="170">
        <f t="shared" si="0"/>
        <v>0</v>
      </c>
      <c r="F21" s="160"/>
      <c r="G21" s="176"/>
      <c r="H21" s="176"/>
    </row>
    <row r="22" spans="1:8" s="162" customFormat="1" ht="16.5" x14ac:dyDescent="0.2">
      <c r="A22" s="104" t="s">
        <v>179</v>
      </c>
      <c r="B22" s="168">
        <v>60</v>
      </c>
      <c r="C22" s="214">
        <v>0</v>
      </c>
      <c r="D22" s="219">
        <v>100</v>
      </c>
      <c r="E22" s="170">
        <f t="shared" si="0"/>
        <v>0</v>
      </c>
      <c r="F22" s="177"/>
      <c r="G22" s="164"/>
      <c r="H22" s="164"/>
    </row>
    <row r="23" spans="1:8" s="178" customFormat="1" ht="16.5" x14ac:dyDescent="0.2">
      <c r="A23" s="104" t="s">
        <v>180</v>
      </c>
      <c r="B23" s="168">
        <v>1</v>
      </c>
      <c r="C23" s="214">
        <v>0</v>
      </c>
      <c r="D23" s="219">
        <v>30</v>
      </c>
      <c r="E23" s="170">
        <f t="shared" si="0"/>
        <v>0</v>
      </c>
      <c r="F23" s="179"/>
      <c r="G23" s="180"/>
      <c r="H23" s="180"/>
    </row>
    <row r="24" spans="1:8" s="162" customFormat="1" ht="16.5" x14ac:dyDescent="0.2">
      <c r="A24" s="104" t="s">
        <v>181</v>
      </c>
      <c r="B24" s="168">
        <v>60</v>
      </c>
      <c r="C24" s="214">
        <v>0</v>
      </c>
      <c r="D24" s="219">
        <v>30</v>
      </c>
      <c r="E24" s="170">
        <f t="shared" si="0"/>
        <v>0</v>
      </c>
      <c r="F24" s="165"/>
    </row>
    <row r="25" spans="1:8" s="162" customFormat="1" ht="16.5" x14ac:dyDescent="0.2">
      <c r="A25" s="104" t="s">
        <v>182</v>
      </c>
      <c r="B25" s="168">
        <v>60</v>
      </c>
      <c r="C25" s="214">
        <v>0</v>
      </c>
      <c r="D25" s="219">
        <v>6</v>
      </c>
      <c r="E25" s="170">
        <f t="shared" si="0"/>
        <v>0</v>
      </c>
      <c r="F25" s="165"/>
    </row>
    <row r="26" spans="1:8" ht="17.25" thickBot="1" x14ac:dyDescent="0.25">
      <c r="A26" s="321" t="s">
        <v>166</v>
      </c>
      <c r="B26" s="322"/>
      <c r="C26" s="323"/>
      <c r="D26" s="171"/>
      <c r="E26" s="172">
        <f>SUM(E15:E25)</f>
        <v>0</v>
      </c>
      <c r="F26" s="161"/>
      <c r="G26" s="162"/>
      <c r="H26" s="162"/>
    </row>
    <row r="27" spans="1:8" s="175" customFormat="1" ht="17.25" thickBot="1" x14ac:dyDescent="0.25">
      <c r="A27" s="324" t="s">
        <v>183</v>
      </c>
      <c r="B27" s="325"/>
      <c r="C27" s="326"/>
      <c r="D27" s="199"/>
      <c r="E27" s="200">
        <f>ROUND((E26/'Estimativa M.O. LICITANTE'!G21),2)</f>
        <v>0</v>
      </c>
      <c r="F27" s="165"/>
      <c r="G27" s="162"/>
      <c r="H27" s="162"/>
    </row>
    <row r="28" spans="1:8" s="164" customFormat="1" ht="18.75" customHeight="1" x14ac:dyDescent="0.2">
      <c r="A28" s="327" t="s">
        <v>184</v>
      </c>
      <c r="B28" s="328" t="s">
        <v>185</v>
      </c>
      <c r="C28" s="329" t="s">
        <v>142</v>
      </c>
      <c r="D28" s="319" t="s">
        <v>150</v>
      </c>
      <c r="E28" s="320"/>
      <c r="F28" s="165"/>
      <c r="G28" s="162"/>
      <c r="H28" s="162"/>
    </row>
    <row r="29" spans="1:8" s="164" customFormat="1" ht="18.75" customHeight="1" thickBot="1" x14ac:dyDescent="0.25">
      <c r="A29" s="312"/>
      <c r="B29" s="314"/>
      <c r="C29" s="316"/>
      <c r="D29" s="166" t="s">
        <v>143</v>
      </c>
      <c r="E29" s="167" t="s">
        <v>144</v>
      </c>
      <c r="F29" s="181"/>
      <c r="G29" s="163"/>
      <c r="H29" s="163"/>
    </row>
    <row r="30" spans="1:8" s="182" customFormat="1" ht="16.5" x14ac:dyDescent="0.2">
      <c r="A30" s="107" t="s">
        <v>186</v>
      </c>
      <c r="B30" s="108">
        <v>0.1</v>
      </c>
      <c r="C30" s="215">
        <v>0</v>
      </c>
      <c r="D30" s="222">
        <v>36</v>
      </c>
      <c r="E30" s="111">
        <f>ROUND(((C30*B30)*D30)/12,2)</f>
        <v>0</v>
      </c>
      <c r="F30" s="183"/>
      <c r="G30" s="184"/>
      <c r="H30" s="184"/>
    </row>
    <row r="31" spans="1:8" s="162" customFormat="1" ht="16.5" x14ac:dyDescent="0.2">
      <c r="A31" s="104" t="s">
        <v>188</v>
      </c>
      <c r="B31" s="168">
        <v>60</v>
      </c>
      <c r="C31" s="214">
        <v>0</v>
      </c>
      <c r="D31" s="223">
        <v>36</v>
      </c>
      <c r="E31" s="170">
        <f>ROUND((C31*D31)/B31,2)</f>
        <v>0</v>
      </c>
      <c r="F31" s="177"/>
      <c r="G31" s="164"/>
      <c r="H31" s="164"/>
    </row>
    <row r="32" spans="1:8" s="162" customFormat="1" ht="16.5" x14ac:dyDescent="0.2">
      <c r="A32" s="104" t="s">
        <v>187</v>
      </c>
      <c r="B32" s="168">
        <v>60</v>
      </c>
      <c r="C32" s="214">
        <v>0</v>
      </c>
      <c r="D32" s="223">
        <v>244</v>
      </c>
      <c r="E32" s="170">
        <f>ROUND((C32*D32)/B32,2)</f>
        <v>0</v>
      </c>
      <c r="F32" s="177"/>
      <c r="G32" s="164"/>
      <c r="H32" s="164"/>
    </row>
    <row r="33" spans="1:8" s="162" customFormat="1" ht="16.5" x14ac:dyDescent="0.2">
      <c r="A33" s="104" t="s">
        <v>173</v>
      </c>
      <c r="B33" s="168">
        <v>60</v>
      </c>
      <c r="C33" s="214">
        <v>0</v>
      </c>
      <c r="D33" s="223">
        <v>244</v>
      </c>
      <c r="E33" s="170">
        <f>ROUND((C33*D33)/B33,2)</f>
        <v>0</v>
      </c>
      <c r="F33" s="165"/>
    </row>
    <row r="34" spans="1:8" s="162" customFormat="1" ht="16.5" x14ac:dyDescent="0.2">
      <c r="A34" s="119" t="s">
        <v>276</v>
      </c>
      <c r="B34" s="201">
        <v>60</v>
      </c>
      <c r="C34" s="214">
        <v>0</v>
      </c>
      <c r="D34" s="223">
        <v>36</v>
      </c>
      <c r="E34" s="170">
        <f>ROUND((C34*D34)/B34,2)</f>
        <v>0</v>
      </c>
      <c r="F34" s="165"/>
    </row>
    <row r="35" spans="1:8" s="162" customFormat="1" ht="16.5" x14ac:dyDescent="0.2">
      <c r="A35" s="119" t="s">
        <v>189</v>
      </c>
      <c r="B35" s="201">
        <v>60</v>
      </c>
      <c r="C35" s="216">
        <v>0</v>
      </c>
      <c r="D35" s="223">
        <v>244</v>
      </c>
      <c r="E35" s="170">
        <f>ROUND((C35*D35)/B35,2)</f>
        <v>0</v>
      </c>
      <c r="F35" s="165"/>
    </row>
    <row r="36" spans="1:8" s="163" customFormat="1" ht="17.25" thickBot="1" x14ac:dyDescent="0.25">
      <c r="A36" s="321" t="s">
        <v>190</v>
      </c>
      <c r="B36" s="322"/>
      <c r="C36" s="323"/>
      <c r="D36" s="187"/>
      <c r="E36" s="188">
        <f>SUM(E30:E35)</f>
        <v>0</v>
      </c>
      <c r="F36" s="181"/>
    </row>
    <row r="37" spans="1:8" s="184" customFormat="1" ht="17.25" thickBot="1" x14ac:dyDescent="0.25">
      <c r="A37" s="324" t="s">
        <v>183</v>
      </c>
      <c r="B37" s="325"/>
      <c r="C37" s="326"/>
      <c r="D37" s="199"/>
      <c r="E37" s="200">
        <f>ROUND((E36/'Estimativa M.O. LICITANTE'!G21),2)</f>
        <v>0</v>
      </c>
      <c r="F37" s="183"/>
    </row>
    <row r="38" spans="1:8" s="164" customFormat="1" ht="13.5" x14ac:dyDescent="0.2">
      <c r="A38" s="327" t="s">
        <v>191</v>
      </c>
      <c r="B38" s="328" t="s">
        <v>141</v>
      </c>
      <c r="C38" s="329" t="s">
        <v>142</v>
      </c>
      <c r="D38" s="319" t="s">
        <v>150</v>
      </c>
      <c r="E38" s="320"/>
      <c r="F38" s="177"/>
    </row>
    <row r="39" spans="1:8" s="164" customFormat="1" ht="14.25" thickBot="1" x14ac:dyDescent="0.25">
      <c r="A39" s="312"/>
      <c r="B39" s="314"/>
      <c r="C39" s="316"/>
      <c r="D39" s="166" t="s">
        <v>143</v>
      </c>
      <c r="E39" s="167" t="s">
        <v>144</v>
      </c>
      <c r="F39" s="177"/>
    </row>
    <row r="40" spans="1:8" s="162" customFormat="1" ht="16.5" x14ac:dyDescent="0.2">
      <c r="A40" s="105" t="s">
        <v>277</v>
      </c>
      <c r="B40" s="106">
        <v>60</v>
      </c>
      <c r="C40" s="110">
        <v>0</v>
      </c>
      <c r="D40" s="106">
        <v>30</v>
      </c>
      <c r="E40" s="109">
        <f>ROUND((C40*D40)/B40,2)</f>
        <v>0</v>
      </c>
      <c r="F40" s="165"/>
    </row>
    <row r="41" spans="1:8" s="162" customFormat="1" ht="16.5" x14ac:dyDescent="0.2">
      <c r="A41" s="104" t="s">
        <v>192</v>
      </c>
      <c r="B41" s="168">
        <v>60</v>
      </c>
      <c r="C41" s="186">
        <v>0</v>
      </c>
      <c r="D41" s="168">
        <v>30</v>
      </c>
      <c r="E41" s="170">
        <f>ROUND((C41*D41)/B41,2)</f>
        <v>0</v>
      </c>
      <c r="F41" s="165"/>
    </row>
    <row r="42" spans="1:8" s="163" customFormat="1" ht="17.25" thickBot="1" x14ac:dyDescent="0.25">
      <c r="A42" s="321" t="s">
        <v>190</v>
      </c>
      <c r="B42" s="322"/>
      <c r="C42" s="323"/>
      <c r="D42" s="187"/>
      <c r="E42" s="188">
        <f>SUM(E40:E41)</f>
        <v>0</v>
      </c>
      <c r="F42" s="165"/>
      <c r="G42" s="162"/>
      <c r="H42" s="162"/>
    </row>
    <row r="43" spans="1:8" s="184" customFormat="1" ht="17.25" thickBot="1" x14ac:dyDescent="0.25">
      <c r="A43" s="330" t="s">
        <v>183</v>
      </c>
      <c r="B43" s="331"/>
      <c r="C43" s="332"/>
      <c r="D43" s="202"/>
      <c r="E43" s="203">
        <f>ROUND((E42/'Estimativa M.O. LICITANTE'!G20),2)</f>
        <v>0</v>
      </c>
      <c r="F43" s="165"/>
      <c r="G43" s="162"/>
      <c r="H43" s="162"/>
    </row>
    <row r="44" spans="1:8" s="164" customFormat="1" ht="13.5" x14ac:dyDescent="0.2">
      <c r="A44" s="311" t="s">
        <v>163</v>
      </c>
      <c r="B44" s="313" t="s">
        <v>149</v>
      </c>
      <c r="C44" s="315" t="s">
        <v>142</v>
      </c>
      <c r="D44" s="317" t="s">
        <v>150</v>
      </c>
      <c r="E44" s="318"/>
      <c r="F44" s="173"/>
      <c r="G44" s="159"/>
      <c r="H44" s="159"/>
    </row>
    <row r="45" spans="1:8" s="164" customFormat="1" ht="14.25" thickBot="1" x14ac:dyDescent="0.25">
      <c r="A45" s="312"/>
      <c r="B45" s="314"/>
      <c r="C45" s="316"/>
      <c r="D45" s="166" t="s">
        <v>143</v>
      </c>
      <c r="E45" s="167" t="s">
        <v>144</v>
      </c>
      <c r="F45" s="177"/>
    </row>
    <row r="46" spans="1:8" s="162" customFormat="1" ht="16.5" x14ac:dyDescent="0.2">
      <c r="A46" s="204" t="s">
        <v>164</v>
      </c>
      <c r="B46" s="205">
        <v>6</v>
      </c>
      <c r="C46" s="206">
        <v>0</v>
      </c>
      <c r="D46" s="205">
        <v>260</v>
      </c>
      <c r="E46" s="170">
        <f>ROUND((C46*D46)/B46,2)</f>
        <v>0</v>
      </c>
      <c r="F46" s="177"/>
      <c r="G46" s="164"/>
      <c r="H46" s="164"/>
    </row>
    <row r="47" spans="1:8" s="162" customFormat="1" ht="16.5" x14ac:dyDescent="0.2">
      <c r="A47" s="119" t="s">
        <v>165</v>
      </c>
      <c r="B47" s="201">
        <v>6</v>
      </c>
      <c r="C47" s="207">
        <v>0</v>
      </c>
      <c r="D47" s="201">
        <v>260</v>
      </c>
      <c r="E47" s="170">
        <f>ROUND((C47*D47)/B47,2)</f>
        <v>0</v>
      </c>
      <c r="F47" s="173"/>
      <c r="G47" s="159"/>
      <c r="H47" s="159"/>
    </row>
    <row r="48" spans="1:8" s="162" customFormat="1" ht="17.25" thickBot="1" x14ac:dyDescent="0.25">
      <c r="A48" s="321" t="s">
        <v>283</v>
      </c>
      <c r="B48" s="322"/>
      <c r="C48" s="323"/>
      <c r="D48" s="189"/>
      <c r="E48" s="188">
        <f>SUM(E46:E47)</f>
        <v>0</v>
      </c>
      <c r="F48" s="173"/>
      <c r="G48" s="159"/>
      <c r="H48" s="159"/>
    </row>
    <row r="49" spans="1:8" ht="17.25" thickBot="1" x14ac:dyDescent="0.25">
      <c r="A49" s="321" t="s">
        <v>162</v>
      </c>
      <c r="B49" s="322"/>
      <c r="C49" s="323"/>
      <c r="D49" s="189"/>
      <c r="E49" s="188">
        <f>ROUND(E48/'Estimativa M.O. LICITANTE'!G21,2)</f>
        <v>0</v>
      </c>
    </row>
    <row r="50" spans="1:8" s="164" customFormat="1" ht="13.5" x14ac:dyDescent="0.2">
      <c r="A50" s="327" t="s">
        <v>148</v>
      </c>
      <c r="B50" s="328" t="s">
        <v>278</v>
      </c>
      <c r="C50" s="329" t="s">
        <v>142</v>
      </c>
      <c r="D50" s="319" t="s">
        <v>150</v>
      </c>
      <c r="E50" s="320"/>
      <c r="F50" s="173"/>
      <c r="G50" s="159"/>
      <c r="H50" s="159"/>
    </row>
    <row r="51" spans="1:8" s="164" customFormat="1" ht="14.25" thickBot="1" x14ac:dyDescent="0.25">
      <c r="A51" s="312"/>
      <c r="B51" s="314"/>
      <c r="C51" s="316"/>
      <c r="D51" s="166" t="s">
        <v>143</v>
      </c>
      <c r="E51" s="167" t="s">
        <v>144</v>
      </c>
      <c r="F51" s="173"/>
      <c r="G51" s="159"/>
      <c r="H51" s="159"/>
    </row>
    <row r="52" spans="1:8" ht="16.5" x14ac:dyDescent="0.2">
      <c r="A52" s="224" t="s">
        <v>151</v>
      </c>
      <c r="B52" s="123">
        <v>6</v>
      </c>
      <c r="C52" s="217">
        <v>0</v>
      </c>
      <c r="D52" s="218">
        <v>4</v>
      </c>
      <c r="E52" s="170">
        <f t="shared" ref="E52:E63" si="1">ROUND((C52*D52)/B52,2)</f>
        <v>0</v>
      </c>
    </row>
    <row r="53" spans="1:8" ht="16.5" x14ac:dyDescent="0.2">
      <c r="A53" s="225" t="s">
        <v>152</v>
      </c>
      <c r="B53" s="168">
        <v>6</v>
      </c>
      <c r="C53" s="217">
        <v>0</v>
      </c>
      <c r="D53" s="219">
        <v>4</v>
      </c>
      <c r="E53" s="170">
        <f t="shared" si="1"/>
        <v>0</v>
      </c>
    </row>
    <row r="54" spans="1:8" ht="16.5" x14ac:dyDescent="0.2">
      <c r="A54" s="225" t="s">
        <v>153</v>
      </c>
      <c r="B54" s="168">
        <v>6</v>
      </c>
      <c r="C54" s="217">
        <v>0</v>
      </c>
      <c r="D54" s="219">
        <v>1</v>
      </c>
      <c r="E54" s="170">
        <f t="shared" si="1"/>
        <v>0</v>
      </c>
    </row>
    <row r="55" spans="1:8" ht="16.5" x14ac:dyDescent="0.2">
      <c r="A55" s="225" t="s">
        <v>154</v>
      </c>
      <c r="B55" s="168">
        <v>6</v>
      </c>
      <c r="C55" s="217">
        <v>0</v>
      </c>
      <c r="D55" s="219">
        <v>2</v>
      </c>
      <c r="E55" s="170">
        <f t="shared" si="1"/>
        <v>0</v>
      </c>
    </row>
    <row r="56" spans="1:8" ht="16.5" x14ac:dyDescent="0.2">
      <c r="A56" s="225" t="s">
        <v>299</v>
      </c>
      <c r="B56" s="168">
        <v>6</v>
      </c>
      <c r="C56" s="217">
        <v>0</v>
      </c>
      <c r="D56" s="219">
        <v>6</v>
      </c>
      <c r="E56" s="170">
        <f t="shared" si="1"/>
        <v>0</v>
      </c>
    </row>
    <row r="57" spans="1:8" ht="16.5" x14ac:dyDescent="0.2">
      <c r="A57" s="225" t="s">
        <v>155</v>
      </c>
      <c r="B57" s="168">
        <v>6</v>
      </c>
      <c r="C57" s="217">
        <v>0</v>
      </c>
      <c r="D57" s="219">
        <v>2</v>
      </c>
      <c r="E57" s="170">
        <f t="shared" si="1"/>
        <v>0</v>
      </c>
    </row>
    <row r="58" spans="1:8" ht="16.5" x14ac:dyDescent="0.2">
      <c r="A58" s="225" t="s">
        <v>156</v>
      </c>
      <c r="B58" s="168">
        <v>6</v>
      </c>
      <c r="C58" s="217">
        <v>0</v>
      </c>
      <c r="D58" s="219">
        <v>1</v>
      </c>
      <c r="E58" s="170">
        <f t="shared" si="1"/>
        <v>0</v>
      </c>
      <c r="F58" s="177"/>
      <c r="G58" s="164"/>
      <c r="H58" s="164"/>
    </row>
    <row r="59" spans="1:8" ht="16.5" x14ac:dyDescent="0.2">
      <c r="A59" s="225" t="s">
        <v>157</v>
      </c>
      <c r="B59" s="168">
        <v>6</v>
      </c>
      <c r="C59" s="217">
        <v>0</v>
      </c>
      <c r="D59" s="219">
        <v>1</v>
      </c>
      <c r="E59" s="170">
        <f t="shared" si="1"/>
        <v>0</v>
      </c>
      <c r="F59" s="177"/>
      <c r="G59" s="164"/>
      <c r="H59" s="164"/>
    </row>
    <row r="60" spans="1:8" ht="16.5" x14ac:dyDescent="0.2">
      <c r="A60" s="226" t="s">
        <v>158</v>
      </c>
      <c r="B60" s="201">
        <v>6</v>
      </c>
      <c r="C60" s="217">
        <v>0</v>
      </c>
      <c r="D60" s="220">
        <v>1</v>
      </c>
      <c r="E60" s="170">
        <f t="shared" si="1"/>
        <v>0</v>
      </c>
      <c r="F60" s="190"/>
      <c r="G60" s="182"/>
      <c r="H60" s="182"/>
    </row>
    <row r="61" spans="1:8" ht="16.5" x14ac:dyDescent="0.2">
      <c r="A61" s="226" t="s">
        <v>159</v>
      </c>
      <c r="B61" s="201">
        <v>6</v>
      </c>
      <c r="C61" s="217">
        <v>0</v>
      </c>
      <c r="D61" s="220">
        <v>1</v>
      </c>
      <c r="E61" s="170">
        <f t="shared" si="1"/>
        <v>0</v>
      </c>
      <c r="F61" s="190"/>
      <c r="G61" s="182"/>
      <c r="H61" s="182"/>
    </row>
    <row r="62" spans="1:8" ht="16.5" x14ac:dyDescent="0.2">
      <c r="A62" s="227" t="s">
        <v>160</v>
      </c>
      <c r="B62" s="124">
        <v>6</v>
      </c>
      <c r="C62" s="217">
        <v>0</v>
      </c>
      <c r="D62" s="221">
        <v>1</v>
      </c>
      <c r="E62" s="170">
        <f t="shared" si="1"/>
        <v>0</v>
      </c>
      <c r="F62" s="190"/>
      <c r="G62" s="182"/>
      <c r="H62" s="182"/>
    </row>
    <row r="63" spans="1:8" ht="17.25" thickBot="1" x14ac:dyDescent="0.25">
      <c r="A63" s="226" t="s">
        <v>161</v>
      </c>
      <c r="B63" s="201">
        <v>6</v>
      </c>
      <c r="C63" s="217">
        <v>0</v>
      </c>
      <c r="D63" s="220">
        <v>1</v>
      </c>
      <c r="E63" s="170">
        <f t="shared" si="1"/>
        <v>0</v>
      </c>
      <c r="F63" s="190"/>
      <c r="G63" s="182"/>
      <c r="H63" s="182"/>
    </row>
    <row r="64" spans="1:8" ht="17.25" thickBot="1" x14ac:dyDescent="0.25">
      <c r="A64" s="354" t="s">
        <v>162</v>
      </c>
      <c r="B64" s="355"/>
      <c r="C64" s="356"/>
      <c r="D64" s="191"/>
      <c r="E64" s="192">
        <f>SUM(E52:E63)</f>
        <v>0</v>
      </c>
      <c r="F64" s="190"/>
      <c r="G64" s="182"/>
      <c r="H64" s="182"/>
    </row>
    <row r="65" spans="1:8" s="164" customFormat="1" ht="13.5" x14ac:dyDescent="0.2">
      <c r="A65" s="327" t="s">
        <v>193</v>
      </c>
      <c r="B65" s="328" t="s">
        <v>194</v>
      </c>
      <c r="C65" s="329" t="s">
        <v>142</v>
      </c>
      <c r="D65" s="319" t="s">
        <v>150</v>
      </c>
      <c r="E65" s="320"/>
      <c r="F65" s="190"/>
      <c r="G65" s="182"/>
      <c r="H65" s="182"/>
    </row>
    <row r="66" spans="1:8" s="164" customFormat="1" ht="21.75" customHeight="1" thickBot="1" x14ac:dyDescent="0.25">
      <c r="A66" s="312"/>
      <c r="B66" s="314"/>
      <c r="C66" s="316"/>
      <c r="D66" s="166" t="s">
        <v>143</v>
      </c>
      <c r="E66" s="167" t="s">
        <v>144</v>
      </c>
      <c r="F66" s="181"/>
      <c r="G66" s="163"/>
      <c r="H66" s="163"/>
    </row>
    <row r="67" spans="1:8" s="182" customFormat="1" ht="16.5" x14ac:dyDescent="0.2">
      <c r="A67" s="118" t="s">
        <v>300</v>
      </c>
      <c r="B67" s="193">
        <v>0.1</v>
      </c>
      <c r="C67" s="215">
        <v>0</v>
      </c>
      <c r="D67" s="185">
        <v>1</v>
      </c>
      <c r="E67" s="194">
        <f>ROUND(((C67*B67)*D67)/12,2)</f>
        <v>0</v>
      </c>
      <c r="F67" s="183"/>
      <c r="G67" s="184"/>
      <c r="H67" s="184"/>
    </row>
    <row r="68" spans="1:8" s="182" customFormat="1" ht="16.5" x14ac:dyDescent="0.2">
      <c r="A68" s="118" t="s">
        <v>279</v>
      </c>
      <c r="B68" s="193">
        <v>0.1</v>
      </c>
      <c r="C68" s="214">
        <v>0</v>
      </c>
      <c r="D68" s="185">
        <v>2</v>
      </c>
      <c r="E68" s="194">
        <f>ROUND(((C68*B68)*D68)/12,2)</f>
        <v>0</v>
      </c>
      <c r="F68" s="177"/>
      <c r="G68" s="164"/>
      <c r="H68" s="164"/>
    </row>
    <row r="69" spans="1:8" s="182" customFormat="1" ht="16.5" x14ac:dyDescent="0.2">
      <c r="A69" s="104" t="s">
        <v>195</v>
      </c>
      <c r="B69" s="193">
        <v>0.1</v>
      </c>
      <c r="C69" s="214">
        <v>0</v>
      </c>
      <c r="D69" s="185">
        <v>14</v>
      </c>
      <c r="E69" s="194">
        <f>ROUND(((C69*B69)*D69)/12,2)</f>
        <v>0</v>
      </c>
      <c r="F69" s="177"/>
      <c r="G69" s="164"/>
      <c r="H69" s="164"/>
    </row>
    <row r="70" spans="1:8" s="182" customFormat="1" ht="16.5" x14ac:dyDescent="0.2">
      <c r="A70" s="104" t="s">
        <v>280</v>
      </c>
      <c r="B70" s="193">
        <v>0.1</v>
      </c>
      <c r="C70" s="214">
        <v>0</v>
      </c>
      <c r="D70" s="185">
        <v>2</v>
      </c>
      <c r="E70" s="194">
        <f>ROUND(((C70*B70)*D70)/12,2)</f>
        <v>0</v>
      </c>
      <c r="F70" s="177"/>
      <c r="G70" s="164"/>
      <c r="H70" s="164"/>
    </row>
    <row r="71" spans="1:8" s="182" customFormat="1" ht="16.5" x14ac:dyDescent="0.2">
      <c r="A71" s="104" t="s">
        <v>284</v>
      </c>
      <c r="B71" s="195">
        <v>6000</v>
      </c>
      <c r="C71" s="169">
        <v>0</v>
      </c>
      <c r="D71" s="185" t="s">
        <v>287</v>
      </c>
      <c r="E71" s="194">
        <f>ROUND(C71*B71,2)</f>
        <v>0</v>
      </c>
      <c r="F71" s="173"/>
      <c r="G71" s="159"/>
      <c r="H71" s="159"/>
    </row>
    <row r="72" spans="1:8" s="182" customFormat="1" ht="16.5" x14ac:dyDescent="0.2">
      <c r="A72" s="104" t="s">
        <v>301</v>
      </c>
      <c r="B72" s="195">
        <v>3000</v>
      </c>
      <c r="C72" s="169">
        <v>0</v>
      </c>
      <c r="D72" s="185" t="s">
        <v>286</v>
      </c>
      <c r="E72" s="194">
        <f t="shared" ref="E72" si="2">ROUND(C72*B72,2)</f>
        <v>0</v>
      </c>
      <c r="F72" s="173"/>
      <c r="G72" s="159"/>
      <c r="H72" s="159"/>
    </row>
    <row r="73" spans="1:8" s="182" customFormat="1" ht="16.5" x14ac:dyDescent="0.2">
      <c r="A73" s="104" t="s">
        <v>285</v>
      </c>
      <c r="B73" s="195">
        <v>42000</v>
      </c>
      <c r="C73" s="169">
        <v>0</v>
      </c>
      <c r="D73" s="185" t="s">
        <v>288</v>
      </c>
      <c r="E73" s="194">
        <f t="shared" ref="E73" si="3">ROUND(C73*B73,2)</f>
        <v>0</v>
      </c>
      <c r="F73" s="173"/>
      <c r="G73" s="159"/>
      <c r="H73" s="159"/>
    </row>
    <row r="74" spans="1:8" s="163" customFormat="1" ht="17.25" thickBot="1" x14ac:dyDescent="0.25">
      <c r="A74" s="321" t="s">
        <v>190</v>
      </c>
      <c r="B74" s="322"/>
      <c r="C74" s="323"/>
      <c r="D74" s="187"/>
      <c r="E74" s="188">
        <f>SUM(E67:E73)</f>
        <v>0</v>
      </c>
      <c r="F74" s="173"/>
      <c r="G74" s="159"/>
      <c r="H74" s="159"/>
    </row>
    <row r="75" spans="1:8" s="184" customFormat="1" ht="17.25" thickBot="1" x14ac:dyDescent="0.25">
      <c r="A75" s="324" t="s">
        <v>183</v>
      </c>
      <c r="B75" s="325"/>
      <c r="C75" s="326"/>
      <c r="D75" s="199"/>
      <c r="E75" s="200">
        <f>ROUND((E74/('Estimativa M.O. LICITANTE'!G7+'Estimativa M.O. LICITANTE'!G8+'Estimativa M.O. LICITANTE'!G9+'Estimativa M.O. LICITANTE'!G15+'Estimativa M.O. LICITANTE'!G16)),2)</f>
        <v>0</v>
      </c>
      <c r="F75" s="173"/>
      <c r="G75" s="159"/>
      <c r="H75" s="159"/>
    </row>
    <row r="76" spans="1:8" s="164" customFormat="1" ht="13.5" x14ac:dyDescent="0.2">
      <c r="A76" s="337" t="s">
        <v>196</v>
      </c>
      <c r="B76" s="339" t="s">
        <v>206</v>
      </c>
      <c r="C76" s="340"/>
      <c r="D76" s="342" t="s">
        <v>150</v>
      </c>
      <c r="E76" s="343"/>
      <c r="F76" s="173"/>
      <c r="G76" s="159"/>
      <c r="H76" s="159"/>
    </row>
    <row r="77" spans="1:8" s="164" customFormat="1" ht="13.5" x14ac:dyDescent="0.2">
      <c r="A77" s="338"/>
      <c r="B77" s="319"/>
      <c r="C77" s="341"/>
      <c r="D77" s="344" t="s">
        <v>143</v>
      </c>
      <c r="E77" s="345"/>
      <c r="F77" s="173"/>
      <c r="G77" s="159"/>
      <c r="H77" s="159"/>
    </row>
    <row r="78" spans="1:8" ht="16.5" x14ac:dyDescent="0.2">
      <c r="A78" s="117" t="s">
        <v>197</v>
      </c>
      <c r="B78" s="346">
        <v>60</v>
      </c>
      <c r="C78" s="347"/>
      <c r="D78" s="350">
        <v>1</v>
      </c>
      <c r="E78" s="351"/>
    </row>
    <row r="79" spans="1:8" ht="16.5" x14ac:dyDescent="0.2">
      <c r="A79" s="104" t="s">
        <v>281</v>
      </c>
      <c r="B79" s="346"/>
      <c r="C79" s="347"/>
      <c r="D79" s="352">
        <v>1</v>
      </c>
      <c r="E79" s="353"/>
    </row>
    <row r="80" spans="1:8" ht="16.5" x14ac:dyDescent="0.2">
      <c r="A80" s="119" t="s">
        <v>198</v>
      </c>
      <c r="B80" s="346"/>
      <c r="C80" s="347"/>
      <c r="D80" s="333">
        <v>1</v>
      </c>
      <c r="E80" s="334"/>
    </row>
    <row r="81" spans="1:5" ht="16.5" x14ac:dyDescent="0.2">
      <c r="A81" s="119" t="s">
        <v>199</v>
      </c>
      <c r="B81" s="346"/>
      <c r="C81" s="347"/>
      <c r="D81" s="333">
        <v>1</v>
      </c>
      <c r="E81" s="334"/>
    </row>
    <row r="82" spans="1:5" ht="16.5" x14ac:dyDescent="0.2">
      <c r="A82" s="119" t="s">
        <v>200</v>
      </c>
      <c r="B82" s="346"/>
      <c r="C82" s="347"/>
      <c r="D82" s="333">
        <v>1</v>
      </c>
      <c r="E82" s="334"/>
    </row>
    <row r="83" spans="1:5" ht="16.5" x14ac:dyDescent="0.2">
      <c r="A83" s="119" t="s">
        <v>201</v>
      </c>
      <c r="B83" s="346"/>
      <c r="C83" s="347"/>
      <c r="D83" s="333">
        <v>1</v>
      </c>
      <c r="E83" s="334"/>
    </row>
    <row r="84" spans="1:5" ht="16.5" x14ac:dyDescent="0.2">
      <c r="A84" s="119" t="s">
        <v>202</v>
      </c>
      <c r="B84" s="346"/>
      <c r="C84" s="347"/>
      <c r="D84" s="333">
        <v>1</v>
      </c>
      <c r="E84" s="334"/>
    </row>
    <row r="85" spans="1:5" ht="16.5" x14ac:dyDescent="0.2">
      <c r="A85" s="119" t="s">
        <v>203</v>
      </c>
      <c r="B85" s="346"/>
      <c r="C85" s="347"/>
      <c r="D85" s="333">
        <v>1</v>
      </c>
      <c r="E85" s="334"/>
    </row>
    <row r="86" spans="1:5" ht="16.5" x14ac:dyDescent="0.2">
      <c r="A86" s="119" t="s">
        <v>204</v>
      </c>
      <c r="B86" s="346"/>
      <c r="C86" s="347"/>
      <c r="D86" s="333">
        <v>1</v>
      </c>
      <c r="E86" s="334"/>
    </row>
    <row r="87" spans="1:5" ht="16.5" x14ac:dyDescent="0.2">
      <c r="A87" s="197" t="s">
        <v>205</v>
      </c>
      <c r="B87" s="346"/>
      <c r="C87" s="347"/>
      <c r="D87" s="333">
        <v>1</v>
      </c>
      <c r="E87" s="334"/>
    </row>
    <row r="88" spans="1:5" ht="17.25" thickBot="1" x14ac:dyDescent="0.25">
      <c r="A88" s="198" t="s">
        <v>282</v>
      </c>
      <c r="B88" s="348"/>
      <c r="C88" s="349"/>
      <c r="D88" s="335">
        <v>1</v>
      </c>
      <c r="E88" s="336"/>
    </row>
  </sheetData>
  <mergeCells count="61">
    <mergeCell ref="A75:C75"/>
    <mergeCell ref="A74:C74"/>
    <mergeCell ref="A48:C48"/>
    <mergeCell ref="D83:E83"/>
    <mergeCell ref="D84:E84"/>
    <mergeCell ref="A65:A66"/>
    <mergeCell ref="B65:B66"/>
    <mergeCell ref="C65:C66"/>
    <mergeCell ref="D65:E65"/>
    <mergeCell ref="A49:C49"/>
    <mergeCell ref="A50:A51"/>
    <mergeCell ref="B50:B51"/>
    <mergeCell ref="C50:C51"/>
    <mergeCell ref="D50:E50"/>
    <mergeCell ref="A64:C64"/>
    <mergeCell ref="D85:E85"/>
    <mergeCell ref="D86:E86"/>
    <mergeCell ref="D87:E87"/>
    <mergeCell ref="D88:E88"/>
    <mergeCell ref="A76:A77"/>
    <mergeCell ref="B76:C77"/>
    <mergeCell ref="D76:E76"/>
    <mergeCell ref="D77:E77"/>
    <mergeCell ref="B78:C88"/>
    <mergeCell ref="D78:E78"/>
    <mergeCell ref="D79:E79"/>
    <mergeCell ref="D80:E80"/>
    <mergeCell ref="D81:E81"/>
    <mergeCell ref="D82:E82"/>
    <mergeCell ref="D44:E44"/>
    <mergeCell ref="A36:C36"/>
    <mergeCell ref="A37:C37"/>
    <mergeCell ref="A38:A39"/>
    <mergeCell ref="B38:B39"/>
    <mergeCell ref="C38:C39"/>
    <mergeCell ref="D38:E38"/>
    <mergeCell ref="A42:C42"/>
    <mergeCell ref="A43:C43"/>
    <mergeCell ref="A44:A45"/>
    <mergeCell ref="B44:B45"/>
    <mergeCell ref="C44:C45"/>
    <mergeCell ref="D28:E28"/>
    <mergeCell ref="A11:C11"/>
    <mergeCell ref="A12:C12"/>
    <mergeCell ref="A13:A14"/>
    <mergeCell ref="B13:B14"/>
    <mergeCell ref="C13:C14"/>
    <mergeCell ref="D13:E13"/>
    <mergeCell ref="A26:C26"/>
    <mergeCell ref="A27:C27"/>
    <mergeCell ref="A28:A29"/>
    <mergeCell ref="B28:B29"/>
    <mergeCell ref="C28:C29"/>
    <mergeCell ref="A1:E1"/>
    <mergeCell ref="A2:C2"/>
    <mergeCell ref="D2:E2"/>
    <mergeCell ref="A3:E3"/>
    <mergeCell ref="A4:A5"/>
    <mergeCell ref="B4:B5"/>
    <mergeCell ref="C4:C5"/>
    <mergeCell ref="D4:E4"/>
  </mergeCells>
  <pageMargins left="0.9055118110236221" right="0.9055118110236221" top="0.78740157480314965" bottom="0.78740157480314965" header="0.31496062992125984" footer="0.31496062992125984"/>
  <pageSetup paperSize="9" scale="74" orientation="portrait" r:id="rId1"/>
  <rowBreaks count="1" manualBreakCount="1">
    <brk id="43" max="5"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7">
    <tabColor rgb="FFFFC000"/>
  </sheetPr>
  <dimension ref="A1:H148"/>
  <sheetViews>
    <sheetView view="pageBreakPreview" topLeftCell="A16"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298</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31</v>
      </c>
      <c r="G22" s="416"/>
    </row>
    <row r="23" spans="1:8" ht="12.75" customHeight="1" x14ac:dyDescent="0.2">
      <c r="A23" s="372" t="s">
        <v>31</v>
      </c>
      <c r="B23" s="373"/>
      <c r="C23" s="373"/>
      <c r="D23" s="373"/>
      <c r="E23" s="374"/>
      <c r="F23" s="407" t="s">
        <v>210</v>
      </c>
      <c r="G23" s="408"/>
    </row>
    <row r="24" spans="1:8" ht="12.75" customHeight="1" x14ac:dyDescent="0.2">
      <c r="A24" s="411" t="s">
        <v>215</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97"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98"/>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99"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98" t="str">
        <f>'Insumos Gerais'!A13</f>
        <v>EQUIPAMENTOS (USO GERAL)</v>
      </c>
      <c r="C107" s="87"/>
      <c r="D107" s="87"/>
      <c r="E107" s="88">
        <f>'Insumos Gerais'!E27</f>
        <v>0</v>
      </c>
      <c r="F107" s="90">
        <v>1</v>
      </c>
      <c r="G107" s="7">
        <f>ROUND((E107*F107),2)</f>
        <v>0</v>
      </c>
      <c r="H107" s="72"/>
    </row>
    <row r="108" spans="1:8" s="68" customFormat="1" x14ac:dyDescent="0.2">
      <c r="A108" s="73" t="s">
        <v>36</v>
      </c>
      <c r="B108" s="236" t="str">
        <f>'Insumos Gerais'!A28</f>
        <v>EQUIPAMENTOS E EPI'S - POSTOS ARMADOS</v>
      </c>
      <c r="C108" s="237"/>
      <c r="D108" s="237"/>
      <c r="E108" s="88">
        <v>0</v>
      </c>
      <c r="F108" s="91">
        <v>1</v>
      </c>
      <c r="G108" s="7">
        <f t="shared" ref="G108:G109"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237"/>
      <c r="D112" s="237"/>
      <c r="E112" s="88">
        <v>0</v>
      </c>
      <c r="F112" s="91">
        <v>1</v>
      </c>
      <c r="G112" s="7">
        <f t="shared" si="5"/>
        <v>0</v>
      </c>
      <c r="H112" s="72"/>
    </row>
    <row r="113" spans="1:8" s="68" customFormat="1" x14ac:dyDescent="0.2">
      <c r="A113" s="73" t="s">
        <v>56</v>
      </c>
      <c r="B113" s="98"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62</v>
      </c>
      <c r="H138" s="10"/>
    </row>
    <row r="139" spans="1:8" s="60" customFormat="1" x14ac:dyDescent="0.2">
      <c r="A139" s="57"/>
      <c r="B139" s="469" t="s">
        <v>4</v>
      </c>
      <c r="C139" s="469"/>
      <c r="D139" s="469"/>
      <c r="E139" s="469"/>
      <c r="F139" s="58">
        <f>F22</f>
        <v>31</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98"/>
    </row>
    <row r="148" spans="7:7" x14ac:dyDescent="0.2">
      <c r="G148" s="64"/>
    </row>
  </sheetData>
  <mergeCells count="140">
    <mergeCell ref="B139:E139"/>
    <mergeCell ref="B140:E140"/>
    <mergeCell ref="A114:F114"/>
    <mergeCell ref="B96:E96"/>
    <mergeCell ref="A98:E98"/>
    <mergeCell ref="A115:G115"/>
    <mergeCell ref="B121:E121"/>
    <mergeCell ref="B122:E122"/>
    <mergeCell ref="B124:E124"/>
    <mergeCell ref="A125:E125"/>
    <mergeCell ref="A126:G126"/>
    <mergeCell ref="B128:F128"/>
    <mergeCell ref="B129:F129"/>
    <mergeCell ref="B130:F130"/>
    <mergeCell ref="B117:E117"/>
    <mergeCell ref="B118:E118"/>
    <mergeCell ref="B119:E119"/>
    <mergeCell ref="B120:E120"/>
    <mergeCell ref="B127:F127"/>
    <mergeCell ref="B131:F131"/>
    <mergeCell ref="B132:F132"/>
    <mergeCell ref="B133:F133"/>
    <mergeCell ref="A134:F134"/>
    <mergeCell ref="A104:F104"/>
    <mergeCell ref="A105:G105"/>
    <mergeCell ref="A94:E94"/>
    <mergeCell ref="A99:G99"/>
    <mergeCell ref="B100:E100"/>
    <mergeCell ref="B101:E101"/>
    <mergeCell ref="B123:E123"/>
    <mergeCell ref="A135:G135"/>
    <mergeCell ref="B89:E89"/>
    <mergeCell ref="A90:E90"/>
    <mergeCell ref="A91:G91"/>
    <mergeCell ref="B92:E92"/>
    <mergeCell ref="B103:E103"/>
    <mergeCell ref="B93:E93"/>
    <mergeCell ref="B97:E97"/>
    <mergeCell ref="A84:E84"/>
    <mergeCell ref="A85:G85"/>
    <mergeCell ref="B86:E86"/>
    <mergeCell ref="B87:E87"/>
    <mergeCell ref="B88:E88"/>
    <mergeCell ref="B102:E102"/>
    <mergeCell ref="B79:E79"/>
    <mergeCell ref="B80:E80"/>
    <mergeCell ref="B81:E81"/>
    <mergeCell ref="B82:E82"/>
    <mergeCell ref="B83:E83"/>
    <mergeCell ref="A95:G95"/>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A50:E50"/>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 ref="F18:G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FFC00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293</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2</v>
      </c>
      <c r="G22" s="416"/>
    </row>
    <row r="23" spans="1:8" ht="12.75" customHeight="1" x14ac:dyDescent="0.2">
      <c r="A23" s="372" t="s">
        <v>31</v>
      </c>
      <c r="B23" s="373"/>
      <c r="C23" s="373"/>
      <c r="D23" s="373"/>
      <c r="E23" s="374"/>
      <c r="F23" s="407" t="s">
        <v>210</v>
      </c>
      <c r="G23" s="408"/>
    </row>
    <row r="24" spans="1:8" ht="12.75" customHeight="1" x14ac:dyDescent="0.2">
      <c r="A24" s="411" t="s">
        <v>216</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5"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f>ROUND(SUM(F30)/15.22*5,2)</f>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4"/>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ref="G59" si="2">ROUND((E59*F59),2)</f>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3">ROUND(G$33*F69,2)</f>
        <v>0</v>
      </c>
      <c r="H69" s="10"/>
    </row>
    <row r="70" spans="1:8" x14ac:dyDescent="0.2">
      <c r="A70" s="11" t="s">
        <v>35</v>
      </c>
      <c r="B70" s="446" t="s">
        <v>77</v>
      </c>
      <c r="C70" s="447"/>
      <c r="D70" s="447"/>
      <c r="E70" s="447"/>
      <c r="F70" s="94">
        <f>ROUND((F69*F49),4)</f>
        <v>0</v>
      </c>
      <c r="G70" s="37">
        <f t="shared" si="3"/>
        <v>0</v>
      </c>
      <c r="H70" s="10"/>
    </row>
    <row r="71" spans="1:8" x14ac:dyDescent="0.2">
      <c r="A71" s="11" t="s">
        <v>36</v>
      </c>
      <c r="B71" s="446" t="s">
        <v>231</v>
      </c>
      <c r="C71" s="447"/>
      <c r="D71" s="447"/>
      <c r="E71" s="447"/>
      <c r="F71" s="94">
        <f>ROUND((0.08*0.4*0.9)*(1+0.09+0.09+0.3),2)*0</f>
        <v>0</v>
      </c>
      <c r="G71" s="37">
        <f t="shared" si="3"/>
        <v>0</v>
      </c>
      <c r="H71" s="10"/>
    </row>
    <row r="72" spans="1:8" x14ac:dyDescent="0.2">
      <c r="A72" s="11" t="s">
        <v>37</v>
      </c>
      <c r="B72" s="446" t="s">
        <v>78</v>
      </c>
      <c r="C72" s="447"/>
      <c r="D72" s="447"/>
      <c r="E72" s="447"/>
      <c r="F72" s="94">
        <f>ROUND(100%/30*7/12*100%,4)*0</f>
        <v>0</v>
      </c>
      <c r="G72" s="37">
        <f t="shared" si="3"/>
        <v>0</v>
      </c>
      <c r="H72" s="10"/>
    </row>
    <row r="73" spans="1:8" s="3" customFormat="1" x14ac:dyDescent="0.2">
      <c r="A73" s="11" t="s">
        <v>38</v>
      </c>
      <c r="B73" s="446" t="s">
        <v>127</v>
      </c>
      <c r="C73" s="447"/>
      <c r="D73" s="447"/>
      <c r="E73" s="447"/>
      <c r="F73" s="94">
        <f>ROUND(F72*F50,4)</f>
        <v>0</v>
      </c>
      <c r="G73" s="37">
        <f t="shared" si="3"/>
        <v>0</v>
      </c>
      <c r="H73" s="10"/>
    </row>
    <row r="74" spans="1:8" x14ac:dyDescent="0.2">
      <c r="A74" s="11" t="s">
        <v>40</v>
      </c>
      <c r="B74" s="441" t="s">
        <v>232</v>
      </c>
      <c r="C74" s="442"/>
      <c r="D74" s="442"/>
      <c r="E74" s="442"/>
      <c r="F74" s="95">
        <v>0</v>
      </c>
      <c r="G74" s="38">
        <f t="shared" si="3"/>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4">ROUND(G$33*F78,2)</f>
        <v>0</v>
      </c>
      <c r="H78" s="10"/>
    </row>
    <row r="79" spans="1:8" x14ac:dyDescent="0.2">
      <c r="A79" s="73" t="s">
        <v>35</v>
      </c>
      <c r="B79" s="377" t="s">
        <v>129</v>
      </c>
      <c r="C79" s="378"/>
      <c r="D79" s="378"/>
      <c r="E79" s="378"/>
      <c r="F79" s="74">
        <f>ROUND(((1/30)/12)*1,4)*0</f>
        <v>0</v>
      </c>
      <c r="G79" s="37">
        <f t="shared" si="4"/>
        <v>0</v>
      </c>
      <c r="H79" s="10"/>
    </row>
    <row r="80" spans="1:8" x14ac:dyDescent="0.2">
      <c r="A80" s="73" t="s">
        <v>36</v>
      </c>
      <c r="B80" s="377" t="s">
        <v>130</v>
      </c>
      <c r="C80" s="378"/>
      <c r="D80" s="378"/>
      <c r="E80" s="378"/>
      <c r="F80" s="74">
        <f>ROUND((((1/30)/12)*5)*0.02,4)*0</f>
        <v>0</v>
      </c>
      <c r="G80" s="37">
        <f t="shared" si="4"/>
        <v>0</v>
      </c>
      <c r="H80" s="10"/>
    </row>
    <row r="81" spans="1:8" x14ac:dyDescent="0.2">
      <c r="A81" s="73" t="s">
        <v>37</v>
      </c>
      <c r="B81" s="377" t="s">
        <v>131</v>
      </c>
      <c r="C81" s="378"/>
      <c r="D81" s="378"/>
      <c r="E81" s="378"/>
      <c r="F81" s="74">
        <f>ROUND((((1/30)/12)*15)*0.05,4)*0</f>
        <v>0</v>
      </c>
      <c r="G81" s="37">
        <f t="shared" si="4"/>
        <v>0</v>
      </c>
      <c r="H81" s="10"/>
    </row>
    <row r="82" spans="1:8" x14ac:dyDescent="0.2">
      <c r="A82" s="73" t="s">
        <v>38</v>
      </c>
      <c r="B82" s="452" t="s">
        <v>226</v>
      </c>
      <c r="C82" s="378"/>
      <c r="D82" s="378"/>
      <c r="E82" s="378"/>
      <c r="F82" s="74">
        <v>0</v>
      </c>
      <c r="G82" s="37">
        <f t="shared" si="4"/>
        <v>0</v>
      </c>
      <c r="H82" s="10"/>
    </row>
    <row r="83" spans="1:8" x14ac:dyDescent="0.2">
      <c r="A83" s="73" t="s">
        <v>40</v>
      </c>
      <c r="B83" s="380" t="s">
        <v>132</v>
      </c>
      <c r="C83" s="381"/>
      <c r="D83" s="381"/>
      <c r="E83" s="381"/>
      <c r="F83" s="76">
        <f>ROUND((((1/30)/12)*5)*0.5,4)*0</f>
        <v>0</v>
      </c>
      <c r="G83" s="38">
        <f t="shared" si="4"/>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41"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98" t="str">
        <f>'Insumos Gerais'!A13</f>
        <v>EQUIPAMENTOS (USO GERAL)</v>
      </c>
      <c r="C107" s="87"/>
      <c r="D107" s="87"/>
      <c r="E107" s="88">
        <f>'Insumos Gerais'!E27</f>
        <v>0</v>
      </c>
      <c r="F107" s="90">
        <v>1</v>
      </c>
      <c r="G107" s="7">
        <f>ROUND((E107*F107),2)</f>
        <v>0</v>
      </c>
      <c r="H107" s="72"/>
    </row>
    <row r="108" spans="1:8" s="68" customFormat="1" x14ac:dyDescent="0.2">
      <c r="A108" s="73" t="s">
        <v>36</v>
      </c>
      <c r="B108" s="98" t="str">
        <f>'Insumos Gerais'!A28</f>
        <v>EQUIPAMENTOS E EPI'S - POSTOS ARMADOS</v>
      </c>
      <c r="C108" s="87"/>
      <c r="D108" s="87"/>
      <c r="E108" s="88">
        <f>'Insumos Gerais'!E37</f>
        <v>0</v>
      </c>
      <c r="F108" s="91">
        <v>1</v>
      </c>
      <c r="G108" s="7">
        <f t="shared" ref="G108:G109" si="5">ROUND((E108*F108),2)</f>
        <v>0</v>
      </c>
      <c r="H108" s="72"/>
    </row>
    <row r="109" spans="1:8" s="68" customFormat="1" x14ac:dyDescent="0.2">
      <c r="A109" s="20" t="s">
        <v>37</v>
      </c>
      <c r="B109" s="236" t="str">
        <f>'Insumos Gerais'!A38</f>
        <v>EQUIPAMENTOS GERAIS - POSTOS NOTURNOS</v>
      </c>
      <c r="C109" s="237"/>
      <c r="D109" s="237"/>
      <c r="E109" s="88">
        <v>0</v>
      </c>
      <c r="F109" s="91">
        <v>1</v>
      </c>
      <c r="G109" s="7">
        <f t="shared" si="5"/>
        <v>0</v>
      </c>
      <c r="H109" s="72"/>
    </row>
    <row r="110" spans="1:8" s="68" customFormat="1" x14ac:dyDescent="0.2">
      <c r="A110" s="73" t="s">
        <v>38</v>
      </c>
      <c r="B110" s="156" t="str">
        <f>'Insumos Gerais'!A44</f>
        <v>EPI'S E OUTROS ( USO GERAL)</v>
      </c>
      <c r="C110" s="87"/>
      <c r="D110" s="87"/>
      <c r="E110" s="88">
        <f>'Insumos Gerais'!E49</f>
        <v>0</v>
      </c>
      <c r="F110" s="91">
        <v>1</v>
      </c>
      <c r="G110" s="7">
        <f t="shared" ref="G110:G112" si="6">ROUND((E110*F110),2)</f>
        <v>0</v>
      </c>
      <c r="H110" s="72"/>
    </row>
    <row r="111" spans="1:8" s="68" customFormat="1" x14ac:dyDescent="0.2">
      <c r="A111" s="73" t="s">
        <v>40</v>
      </c>
      <c r="B111" s="156" t="str">
        <f>'Insumos Gerais'!A50</f>
        <v>UNIFORMES (USO GERAL)</v>
      </c>
      <c r="C111" s="87"/>
      <c r="D111" s="87"/>
      <c r="E111" s="88">
        <f>'Insumos Gerais'!E64</f>
        <v>0</v>
      </c>
      <c r="F111" s="91">
        <v>1</v>
      </c>
      <c r="G111" s="7">
        <f t="shared" si="6"/>
        <v>0</v>
      </c>
      <c r="H111" s="72"/>
    </row>
    <row r="112" spans="1:8" s="68" customFormat="1" x14ac:dyDescent="0.2">
      <c r="A112" s="73" t="s">
        <v>54</v>
      </c>
      <c r="B112" s="156" t="str">
        <f>'Insumos Gerais'!A65</f>
        <v>VEÍCULOS E OUTROS</v>
      </c>
      <c r="C112" s="87"/>
      <c r="D112" s="87"/>
      <c r="E112" s="88">
        <v>0</v>
      </c>
      <c r="F112" s="91">
        <v>1</v>
      </c>
      <c r="G112" s="7">
        <f t="shared" si="6"/>
        <v>0</v>
      </c>
      <c r="H112" s="72"/>
    </row>
    <row r="113" spans="1:8" s="68" customFormat="1" x14ac:dyDescent="0.2">
      <c r="A113" s="73" t="s">
        <v>56</v>
      </c>
      <c r="B113" s="98"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4</v>
      </c>
      <c r="H138" s="10"/>
    </row>
    <row r="139" spans="1:8" s="60" customFormat="1" x14ac:dyDescent="0.2">
      <c r="A139" s="57"/>
      <c r="B139" s="469" t="s">
        <v>4</v>
      </c>
      <c r="C139" s="469"/>
      <c r="D139" s="469"/>
      <c r="E139" s="469"/>
      <c r="F139" s="58">
        <f>F22</f>
        <v>2</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4"/>
    </row>
    <row r="148" spans="7:7" x14ac:dyDescent="0.2">
      <c r="G148" s="64"/>
    </row>
  </sheetData>
  <mergeCells count="140">
    <mergeCell ref="B93:E93"/>
    <mergeCell ref="B97:E97"/>
    <mergeCell ref="B123:E123"/>
    <mergeCell ref="B139:E139"/>
    <mergeCell ref="B140:E140"/>
    <mergeCell ref="B131:F131"/>
    <mergeCell ref="B132:F132"/>
    <mergeCell ref="B133:F133"/>
    <mergeCell ref="A134:F134"/>
    <mergeCell ref="A135:G135"/>
    <mergeCell ref="B117:E117"/>
    <mergeCell ref="B118:E118"/>
    <mergeCell ref="B119:E119"/>
    <mergeCell ref="B120:E120"/>
    <mergeCell ref="B121:E121"/>
    <mergeCell ref="B122:E122"/>
    <mergeCell ref="B124:E124"/>
    <mergeCell ref="A125:E125"/>
    <mergeCell ref="A126:G126"/>
    <mergeCell ref="B127:F127"/>
    <mergeCell ref="B128:F128"/>
    <mergeCell ref="B129:F129"/>
    <mergeCell ref="B130:F130"/>
    <mergeCell ref="B102:E102"/>
    <mergeCell ref="A104:F104"/>
    <mergeCell ref="A105:G105"/>
    <mergeCell ref="A115:G115"/>
    <mergeCell ref="A94:E94"/>
    <mergeCell ref="A99:G99"/>
    <mergeCell ref="B100:E100"/>
    <mergeCell ref="B101:E101"/>
    <mergeCell ref="A95:G95"/>
    <mergeCell ref="B96:E96"/>
    <mergeCell ref="A98:E98"/>
    <mergeCell ref="A114:F114"/>
    <mergeCell ref="B103:E103"/>
    <mergeCell ref="B89:E89"/>
    <mergeCell ref="A90:E90"/>
    <mergeCell ref="A91:G91"/>
    <mergeCell ref="B92:E92"/>
    <mergeCell ref="A84:E84"/>
    <mergeCell ref="A85:G85"/>
    <mergeCell ref="B86:E86"/>
    <mergeCell ref="B87:E87"/>
    <mergeCell ref="B88:E88"/>
    <mergeCell ref="B79:E79"/>
    <mergeCell ref="B80:E80"/>
    <mergeCell ref="B81:E81"/>
    <mergeCell ref="B82:E82"/>
    <mergeCell ref="B83:E83"/>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0:E50"/>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2">
    <tabColor rgb="FFFFC00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271</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14</v>
      </c>
      <c r="G22" s="416"/>
    </row>
    <row r="23" spans="1:8" ht="12.75" customHeight="1" x14ac:dyDescent="0.2">
      <c r="A23" s="372" t="s">
        <v>31</v>
      </c>
      <c r="B23" s="373"/>
      <c r="C23" s="373"/>
      <c r="D23" s="373"/>
      <c r="E23" s="374"/>
      <c r="F23" s="407" t="s">
        <v>210</v>
      </c>
      <c r="G23" s="408"/>
    </row>
    <row r="24" spans="1:8" ht="13.9" customHeight="1" x14ac:dyDescent="0.2">
      <c r="A24" s="411" t="s">
        <v>215</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97"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v>0.1</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98"/>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99"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98" t="str">
        <f>'Insumos Gerais'!A13</f>
        <v>EQUIPAMENTOS (USO GERAL)</v>
      </c>
      <c r="C107" s="87"/>
      <c r="D107" s="87"/>
      <c r="E107" s="88">
        <f>'Insumos Gerais'!E27</f>
        <v>0</v>
      </c>
      <c r="F107" s="90">
        <v>1</v>
      </c>
      <c r="G107" s="7">
        <f>ROUND((E107*F107),2)</f>
        <v>0</v>
      </c>
      <c r="H107" s="72"/>
    </row>
    <row r="108" spans="1:8" s="68" customFormat="1" x14ac:dyDescent="0.2">
      <c r="A108" s="73" t="s">
        <v>36</v>
      </c>
      <c r="B108" s="98"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156" t="str">
        <f>'Insumos Gerais'!A65</f>
        <v>VEÍCULOS E OUTROS</v>
      </c>
      <c r="C112" s="87"/>
      <c r="D112" s="87"/>
      <c r="E112" s="88">
        <f>'Insumos Gerais'!E75</f>
        <v>0</v>
      </c>
      <c r="F112" s="91">
        <v>1</v>
      </c>
      <c r="G112" s="7">
        <f t="shared" si="5"/>
        <v>0</v>
      </c>
      <c r="H112" s="72"/>
    </row>
    <row r="113" spans="1:8" s="68" customFormat="1" x14ac:dyDescent="0.2">
      <c r="A113" s="73" t="s">
        <v>56</v>
      </c>
      <c r="B113" s="98"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28</v>
      </c>
      <c r="H138" s="10"/>
    </row>
    <row r="139" spans="1:8" s="60" customFormat="1" x14ac:dyDescent="0.2">
      <c r="A139" s="57"/>
      <c r="B139" s="469" t="s">
        <v>4</v>
      </c>
      <c r="C139" s="469"/>
      <c r="D139" s="469"/>
      <c r="E139" s="469"/>
      <c r="F139" s="58">
        <f>F22</f>
        <v>14</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98"/>
    </row>
    <row r="148" spans="7:7" x14ac:dyDescent="0.2">
      <c r="G148" s="64"/>
    </row>
  </sheetData>
  <mergeCells count="140">
    <mergeCell ref="A135:G135"/>
    <mergeCell ref="B139:E139"/>
    <mergeCell ref="B140:E140"/>
    <mergeCell ref="B130:F130"/>
    <mergeCell ref="B131:F131"/>
    <mergeCell ref="B132:F132"/>
    <mergeCell ref="B133:F133"/>
    <mergeCell ref="A134:F134"/>
    <mergeCell ref="A125:E125"/>
    <mergeCell ref="A126:G126"/>
    <mergeCell ref="B127:F127"/>
    <mergeCell ref="B128:F128"/>
    <mergeCell ref="B129:F129"/>
    <mergeCell ref="B120:E120"/>
    <mergeCell ref="B121:E121"/>
    <mergeCell ref="B122:E122"/>
    <mergeCell ref="B124:E124"/>
    <mergeCell ref="A105:G105"/>
    <mergeCell ref="A115:G115"/>
    <mergeCell ref="B117:E117"/>
    <mergeCell ref="B118:E118"/>
    <mergeCell ref="A114:F114"/>
    <mergeCell ref="B123:E123"/>
    <mergeCell ref="A99:G99"/>
    <mergeCell ref="B100:E100"/>
    <mergeCell ref="B101:E101"/>
    <mergeCell ref="B102:E102"/>
    <mergeCell ref="A104:F104"/>
    <mergeCell ref="A91:G91"/>
    <mergeCell ref="B92:E92"/>
    <mergeCell ref="A94:E94"/>
    <mergeCell ref="B119:E119"/>
    <mergeCell ref="A95:G95"/>
    <mergeCell ref="B96:E96"/>
    <mergeCell ref="A98:E98"/>
    <mergeCell ref="B103:E103"/>
    <mergeCell ref="B93:E93"/>
    <mergeCell ref="B97:E97"/>
    <mergeCell ref="B86:E86"/>
    <mergeCell ref="B87:E87"/>
    <mergeCell ref="B88:E88"/>
    <mergeCell ref="B89:E89"/>
    <mergeCell ref="A90:E90"/>
    <mergeCell ref="B81:E81"/>
    <mergeCell ref="B82:E82"/>
    <mergeCell ref="B83:E83"/>
    <mergeCell ref="A84:E84"/>
    <mergeCell ref="A85:G85"/>
    <mergeCell ref="A76:G76"/>
    <mergeCell ref="A77:G77"/>
    <mergeCell ref="B78:E78"/>
    <mergeCell ref="B79:E79"/>
    <mergeCell ref="B80:E80"/>
    <mergeCell ref="B71:E71"/>
    <mergeCell ref="B72:E72"/>
    <mergeCell ref="B73:E73"/>
    <mergeCell ref="B74:E74"/>
    <mergeCell ref="A75:E75"/>
    <mergeCell ref="B65:F65"/>
    <mergeCell ref="A66:F66"/>
    <mergeCell ref="A67:G67"/>
    <mergeCell ref="B69:E69"/>
    <mergeCell ref="B70:E70"/>
    <mergeCell ref="B60:D60"/>
    <mergeCell ref="A61:F61"/>
    <mergeCell ref="A62:G62"/>
    <mergeCell ref="B63:E63"/>
    <mergeCell ref="B64:E64"/>
    <mergeCell ref="B53:D53"/>
    <mergeCell ref="B54:D54"/>
    <mergeCell ref="B55:D55"/>
    <mergeCell ref="B56:D56"/>
    <mergeCell ref="B57:D57"/>
    <mergeCell ref="B48:E48"/>
    <mergeCell ref="B49:E49"/>
    <mergeCell ref="A50:E50"/>
    <mergeCell ref="A51:G51"/>
    <mergeCell ref="B52:D52"/>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B59:D59"/>
    <mergeCell ref="B58:D58"/>
    <mergeCell ref="A2:C2"/>
    <mergeCell ref="A1:G1"/>
    <mergeCell ref="F2:G2"/>
    <mergeCell ref="A3:G4"/>
    <mergeCell ref="A5:G5"/>
    <mergeCell ref="A6:E6"/>
    <mergeCell ref="F6:G6"/>
    <mergeCell ref="A11:E11"/>
    <mergeCell ref="F11:G11"/>
    <mergeCell ref="A12:E12"/>
    <mergeCell ref="F12:G12"/>
    <mergeCell ref="A13:E13"/>
    <mergeCell ref="F13:G13"/>
    <mergeCell ref="A7:E7"/>
    <mergeCell ref="F7:G7"/>
    <mergeCell ref="A8:G9"/>
    <mergeCell ref="A10:E10"/>
    <mergeCell ref="F10:G10"/>
    <mergeCell ref="A17:E17"/>
    <mergeCell ref="F17:G17"/>
    <mergeCell ref="A18:E18"/>
    <mergeCell ref="F18:G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272</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3</v>
      </c>
      <c r="G22" s="416"/>
    </row>
    <row r="23" spans="1:8" ht="12.75" customHeight="1" x14ac:dyDescent="0.2">
      <c r="A23" s="372" t="s">
        <v>31</v>
      </c>
      <c r="B23" s="373"/>
      <c r="C23" s="373"/>
      <c r="D23" s="373"/>
      <c r="E23" s="374"/>
      <c r="F23" s="407" t="s">
        <v>210</v>
      </c>
      <c r="G23" s="408"/>
    </row>
    <row r="24" spans="1:8" ht="13.9" customHeight="1" x14ac:dyDescent="0.2">
      <c r="A24" s="411" t="s">
        <v>215</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46"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v>0.1</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47"/>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48"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47" t="str">
        <f>'Insumos Gerais'!A13</f>
        <v>EQUIPAMENTOS (USO GERAL)</v>
      </c>
      <c r="C107" s="87"/>
      <c r="D107" s="87"/>
      <c r="E107" s="88">
        <f>'Insumos Gerais'!E27</f>
        <v>0</v>
      </c>
      <c r="F107" s="90">
        <v>1</v>
      </c>
      <c r="G107" s="7">
        <f>ROUND((E107*F107),2)</f>
        <v>0</v>
      </c>
      <c r="H107" s="72"/>
    </row>
    <row r="108" spans="1:8" s="68" customFormat="1" x14ac:dyDescent="0.2">
      <c r="A108" s="73" t="s">
        <v>36</v>
      </c>
      <c r="B108" s="147"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156" t="str">
        <f>'Insumos Gerais'!A65</f>
        <v>VEÍCULOS E OUTROS</v>
      </c>
      <c r="C112" s="87"/>
      <c r="D112" s="87"/>
      <c r="E112" s="88">
        <f>'Insumos Gerais'!E75</f>
        <v>0</v>
      </c>
      <c r="F112" s="91">
        <v>1</v>
      </c>
      <c r="G112" s="7">
        <f t="shared" si="5"/>
        <v>0</v>
      </c>
      <c r="H112" s="72"/>
    </row>
    <row r="113" spans="1:8" s="68" customFormat="1" x14ac:dyDescent="0.2">
      <c r="A113" s="73" t="s">
        <v>56</v>
      </c>
      <c r="B113" s="147"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6</v>
      </c>
      <c r="H138" s="10"/>
    </row>
    <row r="139" spans="1:8" s="60" customFormat="1" x14ac:dyDescent="0.2">
      <c r="A139" s="57"/>
      <c r="B139" s="469" t="s">
        <v>4</v>
      </c>
      <c r="C139" s="469"/>
      <c r="D139" s="469"/>
      <c r="E139" s="469"/>
      <c r="F139" s="58">
        <f>F22</f>
        <v>3</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47"/>
    </row>
    <row r="148" spans="7:7" x14ac:dyDescent="0.2">
      <c r="G148" s="64"/>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3">
    <tabColor rgb="FFFFC00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214</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14</v>
      </c>
      <c r="G22" s="416"/>
    </row>
    <row r="23" spans="1:8" ht="12.75" customHeight="1" x14ac:dyDescent="0.2">
      <c r="A23" s="372" t="s">
        <v>31</v>
      </c>
      <c r="B23" s="373"/>
      <c r="C23" s="373"/>
      <c r="D23" s="373"/>
      <c r="E23" s="374"/>
      <c r="F23" s="407" t="s">
        <v>210</v>
      </c>
      <c r="G23" s="408"/>
    </row>
    <row r="24" spans="1:8" ht="12.75" customHeight="1" x14ac:dyDescent="0.2">
      <c r="A24" s="411" t="s">
        <v>217</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97"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98"/>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99"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98" t="str">
        <f>'Insumos Gerais'!A13</f>
        <v>EQUIPAMENTOS (USO GERAL)</v>
      </c>
      <c r="C107" s="87"/>
      <c r="D107" s="87"/>
      <c r="E107" s="88">
        <f>'Insumos Gerais'!E27</f>
        <v>0</v>
      </c>
      <c r="F107" s="90">
        <v>1</v>
      </c>
      <c r="G107" s="7">
        <f>ROUND((E107*F107),2)</f>
        <v>0</v>
      </c>
      <c r="H107" s="72"/>
    </row>
    <row r="108" spans="1:8" s="68" customFormat="1" x14ac:dyDescent="0.2">
      <c r="A108" s="73" t="s">
        <v>36</v>
      </c>
      <c r="B108" s="98"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87"/>
      <c r="D112" s="87"/>
      <c r="E112" s="88">
        <v>0</v>
      </c>
      <c r="F112" s="91">
        <v>1</v>
      </c>
      <c r="G112" s="7">
        <f t="shared" si="5"/>
        <v>0</v>
      </c>
      <c r="H112" s="72"/>
    </row>
    <row r="113" spans="1:8" s="68" customFormat="1" x14ac:dyDescent="0.2">
      <c r="A113" s="73" t="s">
        <v>56</v>
      </c>
      <c r="B113" s="98"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28</v>
      </c>
      <c r="H138" s="10"/>
    </row>
    <row r="139" spans="1:8" s="60" customFormat="1" x14ac:dyDescent="0.2">
      <c r="A139" s="57"/>
      <c r="B139" s="469" t="s">
        <v>4</v>
      </c>
      <c r="C139" s="469"/>
      <c r="D139" s="469"/>
      <c r="E139" s="469"/>
      <c r="F139" s="58">
        <f>F22</f>
        <v>14</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98"/>
    </row>
    <row r="148" spans="7:7" x14ac:dyDescent="0.2">
      <c r="G148" s="64"/>
    </row>
  </sheetData>
  <mergeCells count="140">
    <mergeCell ref="B93:E93"/>
    <mergeCell ref="B97:E97"/>
    <mergeCell ref="B123:E123"/>
    <mergeCell ref="B139:E139"/>
    <mergeCell ref="B140:E140"/>
    <mergeCell ref="B131:F131"/>
    <mergeCell ref="B132:F132"/>
    <mergeCell ref="B133:F133"/>
    <mergeCell ref="A134:F134"/>
    <mergeCell ref="A135:G135"/>
    <mergeCell ref="B117:E117"/>
    <mergeCell ref="B118:E118"/>
    <mergeCell ref="B119:E119"/>
    <mergeCell ref="B120:E120"/>
    <mergeCell ref="B121:E121"/>
    <mergeCell ref="B122:E122"/>
    <mergeCell ref="B124:E124"/>
    <mergeCell ref="A125:E125"/>
    <mergeCell ref="A126:G126"/>
    <mergeCell ref="B127:F127"/>
    <mergeCell ref="B128:F128"/>
    <mergeCell ref="B129:F129"/>
    <mergeCell ref="B130:F130"/>
    <mergeCell ref="B102:E102"/>
    <mergeCell ref="A104:F104"/>
    <mergeCell ref="A105:G105"/>
    <mergeCell ref="A115:G115"/>
    <mergeCell ref="A94:E94"/>
    <mergeCell ref="A99:G99"/>
    <mergeCell ref="B100:E100"/>
    <mergeCell ref="B101:E101"/>
    <mergeCell ref="A95:G95"/>
    <mergeCell ref="B96:E96"/>
    <mergeCell ref="A98:E98"/>
    <mergeCell ref="A114:F114"/>
    <mergeCell ref="B103:E103"/>
    <mergeCell ref="B89:E89"/>
    <mergeCell ref="A90:E90"/>
    <mergeCell ref="A91:G91"/>
    <mergeCell ref="B92:E92"/>
    <mergeCell ref="A84:E84"/>
    <mergeCell ref="A85:G85"/>
    <mergeCell ref="B86:E86"/>
    <mergeCell ref="B87:E87"/>
    <mergeCell ref="B88:E88"/>
    <mergeCell ref="B79:E79"/>
    <mergeCell ref="B80:E80"/>
    <mergeCell ref="B81:E81"/>
    <mergeCell ref="B82:E82"/>
    <mergeCell ref="B83:E83"/>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0:E50"/>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4">
    <tabColor rgb="FFFFC00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218</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1</v>
      </c>
      <c r="G22" s="416"/>
    </row>
    <row r="23" spans="1:8" ht="12.75" customHeight="1" x14ac:dyDescent="0.2">
      <c r="A23" s="372" t="s">
        <v>31</v>
      </c>
      <c r="B23" s="373"/>
      <c r="C23" s="373"/>
      <c r="D23" s="373"/>
      <c r="E23" s="374"/>
      <c r="F23" s="407" t="s">
        <v>210</v>
      </c>
      <c r="G23" s="408"/>
    </row>
    <row r="24" spans="1:8" ht="13.9" customHeight="1" x14ac:dyDescent="0.2">
      <c r="A24" s="411" t="s">
        <v>215</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97"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v>0.12</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98"/>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99"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98" t="str">
        <f>'Insumos Gerais'!A13</f>
        <v>EQUIPAMENTOS (USO GERAL)</v>
      </c>
      <c r="C107" s="87"/>
      <c r="D107" s="87"/>
      <c r="E107" s="88">
        <f>'Insumos Gerais'!E27</f>
        <v>0</v>
      </c>
      <c r="F107" s="90">
        <v>1</v>
      </c>
      <c r="G107" s="7">
        <f>ROUND((E107*F107),2)</f>
        <v>0</v>
      </c>
      <c r="H107" s="72"/>
    </row>
    <row r="108" spans="1:8" s="68" customFormat="1" x14ac:dyDescent="0.2">
      <c r="A108" s="73" t="s">
        <v>36</v>
      </c>
      <c r="B108" s="98"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87"/>
      <c r="D112" s="87"/>
      <c r="E112" s="88">
        <v>0</v>
      </c>
      <c r="F112" s="91">
        <v>1</v>
      </c>
      <c r="G112" s="7">
        <f t="shared" si="5"/>
        <v>0</v>
      </c>
      <c r="H112" s="72"/>
    </row>
    <row r="113" spans="1:8" s="68" customFormat="1" x14ac:dyDescent="0.2">
      <c r="A113" s="73" t="s">
        <v>56</v>
      </c>
      <c r="B113" s="98"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2</v>
      </c>
      <c r="H138" s="10"/>
    </row>
    <row r="139" spans="1:8" s="60" customFormat="1" x14ac:dyDescent="0.2">
      <c r="A139" s="57"/>
      <c r="B139" s="469" t="s">
        <v>4</v>
      </c>
      <c r="C139" s="469"/>
      <c r="D139" s="469"/>
      <c r="E139" s="469"/>
      <c r="F139" s="58">
        <f>F22</f>
        <v>1</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98"/>
    </row>
    <row r="148" spans="7:7" x14ac:dyDescent="0.2">
      <c r="G148" s="64"/>
    </row>
  </sheetData>
  <mergeCells count="140">
    <mergeCell ref="B93:E93"/>
    <mergeCell ref="B97:E97"/>
    <mergeCell ref="B123:E123"/>
    <mergeCell ref="B139:E139"/>
    <mergeCell ref="B140:E140"/>
    <mergeCell ref="B131:F131"/>
    <mergeCell ref="B132:F132"/>
    <mergeCell ref="B133:F133"/>
    <mergeCell ref="A134:F134"/>
    <mergeCell ref="A135:G135"/>
    <mergeCell ref="B117:E117"/>
    <mergeCell ref="B118:E118"/>
    <mergeCell ref="B119:E119"/>
    <mergeCell ref="B120:E120"/>
    <mergeCell ref="B121:E121"/>
    <mergeCell ref="B122:E122"/>
    <mergeCell ref="B124:E124"/>
    <mergeCell ref="A125:E125"/>
    <mergeCell ref="A126:G126"/>
    <mergeCell ref="B127:F127"/>
    <mergeCell ref="B128:F128"/>
    <mergeCell ref="B129:F129"/>
    <mergeCell ref="B130:F130"/>
    <mergeCell ref="B102:E102"/>
    <mergeCell ref="A104:F104"/>
    <mergeCell ref="A105:G105"/>
    <mergeCell ref="A115:G115"/>
    <mergeCell ref="A94:E94"/>
    <mergeCell ref="A99:G99"/>
    <mergeCell ref="B100:E100"/>
    <mergeCell ref="B101:E101"/>
    <mergeCell ref="A95:G95"/>
    <mergeCell ref="B96:E96"/>
    <mergeCell ref="A98:E98"/>
    <mergeCell ref="A114:F114"/>
    <mergeCell ref="B103:E103"/>
    <mergeCell ref="B89:E89"/>
    <mergeCell ref="A90:E90"/>
    <mergeCell ref="A91:G91"/>
    <mergeCell ref="B92:E92"/>
    <mergeCell ref="A84:E84"/>
    <mergeCell ref="A85:G85"/>
    <mergeCell ref="B86:E86"/>
    <mergeCell ref="B87:E87"/>
    <mergeCell ref="B88:E88"/>
    <mergeCell ref="B79:E79"/>
    <mergeCell ref="B80:E80"/>
    <mergeCell ref="B81:E81"/>
    <mergeCell ref="B82:E82"/>
    <mergeCell ref="B83:E83"/>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0:E50"/>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5">
    <tabColor rgb="FFFFC00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302</v>
      </c>
      <c r="G16" s="396"/>
      <c r="H16" s="3"/>
    </row>
    <row r="17" spans="1:8" ht="14.1" customHeight="1" x14ac:dyDescent="0.2">
      <c r="A17" s="385" t="s">
        <v>27</v>
      </c>
      <c r="B17" s="386"/>
      <c r="C17" s="386"/>
      <c r="D17" s="386"/>
      <c r="E17" s="387"/>
      <c r="F17" s="395" t="s">
        <v>219</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3</v>
      </c>
      <c r="G22" s="416"/>
    </row>
    <row r="23" spans="1:8" ht="12.75" customHeight="1" x14ac:dyDescent="0.2">
      <c r="A23" s="372" t="s">
        <v>31</v>
      </c>
      <c r="B23" s="373"/>
      <c r="C23" s="373"/>
      <c r="D23" s="373"/>
      <c r="E23" s="374"/>
      <c r="F23" s="407" t="s">
        <v>210</v>
      </c>
      <c r="G23" s="408"/>
    </row>
    <row r="24" spans="1:8" ht="12.75" customHeight="1" x14ac:dyDescent="0.2">
      <c r="A24" s="411" t="s">
        <v>215</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97"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f>ROUND(SUM(F30)/15.22*5,2)</f>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98"/>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99"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98" t="str">
        <f>'Insumos Gerais'!A13</f>
        <v>EQUIPAMENTOS (USO GERAL)</v>
      </c>
      <c r="C107" s="87"/>
      <c r="D107" s="87"/>
      <c r="E107" s="88">
        <f>'Insumos Gerais'!E27</f>
        <v>0</v>
      </c>
      <c r="F107" s="90">
        <v>1</v>
      </c>
      <c r="G107" s="7">
        <f>ROUND((E107*F107),2)</f>
        <v>0</v>
      </c>
      <c r="H107" s="72"/>
    </row>
    <row r="108" spans="1:8" s="68" customFormat="1" x14ac:dyDescent="0.2">
      <c r="A108" s="73" t="s">
        <v>36</v>
      </c>
      <c r="B108" s="236" t="str">
        <f>'Insumos Gerais'!A28</f>
        <v>EQUIPAMENTOS E EPI'S - POSTOS ARMADOS</v>
      </c>
      <c r="C108" s="237"/>
      <c r="D108" s="237"/>
      <c r="E108" s="88">
        <v>0</v>
      </c>
      <c r="F108" s="91">
        <v>1</v>
      </c>
      <c r="G108" s="7">
        <f t="shared" ref="G108:G109"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87"/>
      <c r="D112" s="87"/>
      <c r="E112" s="88">
        <v>0</v>
      </c>
      <c r="F112" s="91">
        <v>1</v>
      </c>
      <c r="G112" s="7">
        <f t="shared" si="5"/>
        <v>0</v>
      </c>
      <c r="H112" s="72"/>
    </row>
    <row r="113" spans="1:8" s="68" customFormat="1" x14ac:dyDescent="0.2">
      <c r="A113" s="73" t="s">
        <v>56</v>
      </c>
      <c r="B113" s="98"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6</v>
      </c>
      <c r="H138" s="10"/>
    </row>
    <row r="139" spans="1:8" s="60" customFormat="1" x14ac:dyDescent="0.2">
      <c r="A139" s="57"/>
      <c r="B139" s="469" t="s">
        <v>4</v>
      </c>
      <c r="C139" s="469"/>
      <c r="D139" s="469"/>
      <c r="E139" s="469"/>
      <c r="F139" s="58">
        <f>F22</f>
        <v>3</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98"/>
    </row>
    <row r="148" spans="7:7" x14ac:dyDescent="0.2">
      <c r="G148" s="64"/>
    </row>
  </sheetData>
  <mergeCells count="140">
    <mergeCell ref="A135:G135"/>
    <mergeCell ref="B139:E139"/>
    <mergeCell ref="B140:E140"/>
    <mergeCell ref="B130:F130"/>
    <mergeCell ref="B131:F131"/>
    <mergeCell ref="B132:F132"/>
    <mergeCell ref="B133:F133"/>
    <mergeCell ref="A134:F134"/>
    <mergeCell ref="A125:E125"/>
    <mergeCell ref="A126:G126"/>
    <mergeCell ref="B127:F127"/>
    <mergeCell ref="B128:F128"/>
    <mergeCell ref="B129:F129"/>
    <mergeCell ref="B120:E120"/>
    <mergeCell ref="B121:E121"/>
    <mergeCell ref="B122:E122"/>
    <mergeCell ref="B124:E124"/>
    <mergeCell ref="A105:G105"/>
    <mergeCell ref="A115:G115"/>
    <mergeCell ref="B117:E117"/>
    <mergeCell ref="B118:E118"/>
    <mergeCell ref="A114:F114"/>
    <mergeCell ref="B123:E123"/>
    <mergeCell ref="A99:G99"/>
    <mergeCell ref="B100:E100"/>
    <mergeCell ref="B101:E101"/>
    <mergeCell ref="B102:E102"/>
    <mergeCell ref="A104:F104"/>
    <mergeCell ref="A91:G91"/>
    <mergeCell ref="B92:E92"/>
    <mergeCell ref="A94:E94"/>
    <mergeCell ref="B119:E119"/>
    <mergeCell ref="A95:G95"/>
    <mergeCell ref="B96:E96"/>
    <mergeCell ref="A98:E98"/>
    <mergeCell ref="B103:E103"/>
    <mergeCell ref="B93:E93"/>
    <mergeCell ref="B97:E97"/>
    <mergeCell ref="B86:E86"/>
    <mergeCell ref="B87:E87"/>
    <mergeCell ref="B88:E88"/>
    <mergeCell ref="B89:E89"/>
    <mergeCell ref="A90:E90"/>
    <mergeCell ref="B81:E81"/>
    <mergeCell ref="B82:E82"/>
    <mergeCell ref="B83:E83"/>
    <mergeCell ref="A84:E84"/>
    <mergeCell ref="A85:G85"/>
    <mergeCell ref="A76:G76"/>
    <mergeCell ref="A77:G77"/>
    <mergeCell ref="B78:E78"/>
    <mergeCell ref="B79:E79"/>
    <mergeCell ref="B80:E80"/>
    <mergeCell ref="B71:E71"/>
    <mergeCell ref="B72:E72"/>
    <mergeCell ref="B73:E73"/>
    <mergeCell ref="B74:E74"/>
    <mergeCell ref="A75:E75"/>
    <mergeCell ref="B65:F65"/>
    <mergeCell ref="A66:F66"/>
    <mergeCell ref="A67:G67"/>
    <mergeCell ref="B69:E69"/>
    <mergeCell ref="B70:E70"/>
    <mergeCell ref="B60:D60"/>
    <mergeCell ref="A61:F61"/>
    <mergeCell ref="A62:G62"/>
    <mergeCell ref="B63:E63"/>
    <mergeCell ref="B64:E64"/>
    <mergeCell ref="B53:D53"/>
    <mergeCell ref="B54:D54"/>
    <mergeCell ref="B55:D55"/>
    <mergeCell ref="B56:D56"/>
    <mergeCell ref="B57:D57"/>
    <mergeCell ref="B48:E48"/>
    <mergeCell ref="B49:E49"/>
    <mergeCell ref="A50:E50"/>
    <mergeCell ref="A51:G51"/>
    <mergeCell ref="B52:D52"/>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B59:D59"/>
    <mergeCell ref="B58:D58"/>
    <mergeCell ref="A2:C2"/>
    <mergeCell ref="A1:G1"/>
    <mergeCell ref="F2:G2"/>
    <mergeCell ref="A3:G4"/>
    <mergeCell ref="A5:G5"/>
    <mergeCell ref="A6:E6"/>
    <mergeCell ref="F6:G6"/>
    <mergeCell ref="A11:E11"/>
    <mergeCell ref="F11:G11"/>
    <mergeCell ref="A12:E12"/>
    <mergeCell ref="F12:G12"/>
    <mergeCell ref="A13:E13"/>
    <mergeCell ref="F13:G13"/>
    <mergeCell ref="A7:E7"/>
    <mergeCell ref="F7:G7"/>
    <mergeCell ref="A8:G9"/>
    <mergeCell ref="A10:E10"/>
    <mergeCell ref="F10:G10"/>
    <mergeCell ref="A17:E17"/>
    <mergeCell ref="F17:G17"/>
    <mergeCell ref="A18:E18"/>
    <mergeCell ref="F18:G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6">
    <tabColor rgb="FF92D05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298</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16</v>
      </c>
      <c r="G22" s="416"/>
    </row>
    <row r="23" spans="1:8" ht="12.75" customHeight="1" x14ac:dyDescent="0.2">
      <c r="A23" s="372" t="s">
        <v>31</v>
      </c>
      <c r="B23" s="373"/>
      <c r="C23" s="373"/>
      <c r="D23" s="373"/>
      <c r="E23" s="374"/>
      <c r="F23" s="407" t="s">
        <v>210</v>
      </c>
      <c r="G23" s="408"/>
    </row>
    <row r="24" spans="1:8" ht="12.75" customHeight="1" x14ac:dyDescent="0.2">
      <c r="A24" s="411" t="s">
        <v>221</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03"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01"/>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02"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01" t="str">
        <f>'Insumos Gerais'!A13</f>
        <v>EQUIPAMENTOS (USO GERAL)</v>
      </c>
      <c r="C107" s="87"/>
      <c r="D107" s="87"/>
      <c r="E107" s="88">
        <f>'Insumos Gerais'!E27</f>
        <v>0</v>
      </c>
      <c r="F107" s="90">
        <v>1</v>
      </c>
      <c r="G107" s="7">
        <f>ROUND((E107*F107),2)</f>
        <v>0</v>
      </c>
      <c r="H107" s="72"/>
    </row>
    <row r="108" spans="1:8" s="68" customFormat="1" x14ac:dyDescent="0.2">
      <c r="A108" s="73" t="s">
        <v>36</v>
      </c>
      <c r="B108" s="236" t="str">
        <f>'Insumos Gerais'!A28</f>
        <v>EQUIPAMENTOS E EPI'S - POSTOS ARMADOS</v>
      </c>
      <c r="C108" s="237"/>
      <c r="D108" s="237"/>
      <c r="E108" s="88">
        <v>0</v>
      </c>
      <c r="F108" s="91">
        <v>1</v>
      </c>
      <c r="G108" s="7">
        <f t="shared" ref="G108:G109" si="4">ROUND((E108*F108),2)</f>
        <v>0</v>
      </c>
      <c r="H108" s="72"/>
    </row>
    <row r="109" spans="1:8" s="68" customFormat="1" x14ac:dyDescent="0.2">
      <c r="A109" s="20" t="s">
        <v>37</v>
      </c>
      <c r="B109" s="101" t="str">
        <f>'Insumos Gerais'!A38</f>
        <v>EQUIPAMENTOS GERAIS - POSTOS NOTURNOS</v>
      </c>
      <c r="C109" s="87"/>
      <c r="D109" s="87"/>
      <c r="E109" s="88">
        <f>'Insumos Gerais'!E43</f>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87"/>
      <c r="D112" s="87"/>
      <c r="E112" s="88">
        <v>0</v>
      </c>
      <c r="F112" s="91">
        <v>1</v>
      </c>
      <c r="G112" s="7">
        <f t="shared" si="5"/>
        <v>0</v>
      </c>
      <c r="H112" s="72"/>
    </row>
    <row r="113" spans="1:8" s="68" customFormat="1" x14ac:dyDescent="0.2">
      <c r="A113" s="73" t="s">
        <v>56</v>
      </c>
      <c r="B113" s="101"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32</v>
      </c>
      <c r="H138" s="10"/>
    </row>
    <row r="139" spans="1:8" s="60" customFormat="1" x14ac:dyDescent="0.2">
      <c r="A139" s="57"/>
      <c r="B139" s="469" t="s">
        <v>4</v>
      </c>
      <c r="C139" s="469"/>
      <c r="D139" s="469"/>
      <c r="E139" s="469"/>
      <c r="F139" s="58">
        <f>F22</f>
        <v>16</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01"/>
    </row>
    <row r="148" spans="7:7" x14ac:dyDescent="0.2">
      <c r="G148" s="64"/>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271</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10</v>
      </c>
      <c r="G22" s="416"/>
    </row>
    <row r="23" spans="1:8" ht="12.75" customHeight="1" x14ac:dyDescent="0.2">
      <c r="A23" s="372" t="s">
        <v>31</v>
      </c>
      <c r="B23" s="373"/>
      <c r="C23" s="373"/>
      <c r="D23" s="373"/>
      <c r="E23" s="374"/>
      <c r="F23" s="407" t="s">
        <v>210</v>
      </c>
      <c r="G23" s="408"/>
    </row>
    <row r="24" spans="1:8" ht="13.9" customHeight="1" x14ac:dyDescent="0.2">
      <c r="A24" s="411" t="s">
        <v>221</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20"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0.1</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21"/>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22"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21" t="str">
        <f>'Insumos Gerais'!A13</f>
        <v>EQUIPAMENTOS (USO GERAL)</v>
      </c>
      <c r="C107" s="87"/>
      <c r="D107" s="87"/>
      <c r="E107" s="88">
        <f>'Insumos Gerais'!E27</f>
        <v>0</v>
      </c>
      <c r="F107" s="90">
        <v>1</v>
      </c>
      <c r="G107" s="7">
        <f>ROUND((E107*F107),2)</f>
        <v>0</v>
      </c>
      <c r="H107" s="72"/>
    </row>
    <row r="108" spans="1:8" s="68" customFormat="1" x14ac:dyDescent="0.2">
      <c r="A108" s="73" t="s">
        <v>36</v>
      </c>
      <c r="B108" s="121"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121" t="str">
        <f>'Insumos Gerais'!A38</f>
        <v>EQUIPAMENTOS GERAIS - POSTOS NOTURNOS</v>
      </c>
      <c r="C109" s="87"/>
      <c r="D109" s="87"/>
      <c r="E109" s="88">
        <f>'Insumos Gerais'!E43</f>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156" t="str">
        <f>'Insumos Gerais'!A65</f>
        <v>VEÍCULOS E OUTROS</v>
      </c>
      <c r="C112" s="87"/>
      <c r="D112" s="87"/>
      <c r="E112" s="88">
        <f>'Insumos Gerais'!E75</f>
        <v>0</v>
      </c>
      <c r="F112" s="91">
        <v>1</v>
      </c>
      <c r="G112" s="7">
        <f t="shared" si="5"/>
        <v>0</v>
      </c>
      <c r="H112" s="72"/>
    </row>
    <row r="113" spans="1:8" s="68" customFormat="1" x14ac:dyDescent="0.2">
      <c r="A113" s="73" t="s">
        <v>56</v>
      </c>
      <c r="B113" s="121"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20</v>
      </c>
      <c r="H138" s="10"/>
    </row>
    <row r="139" spans="1:8" s="60" customFormat="1" x14ac:dyDescent="0.2">
      <c r="A139" s="57"/>
      <c r="B139" s="469" t="s">
        <v>4</v>
      </c>
      <c r="C139" s="469"/>
      <c r="D139" s="469"/>
      <c r="E139" s="469"/>
      <c r="F139" s="58">
        <f>F22</f>
        <v>10</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21"/>
    </row>
    <row r="148" spans="7:7" x14ac:dyDescent="0.2">
      <c r="G148" s="64"/>
    </row>
  </sheetData>
  <mergeCells count="140">
    <mergeCell ref="B123:E123"/>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A33:F33"/>
    <mergeCell ref="A34:G34"/>
    <mergeCell ref="A35:G35"/>
    <mergeCell ref="B36:E36"/>
    <mergeCell ref="B37:E37"/>
    <mergeCell ref="B26:E26"/>
    <mergeCell ref="B27:E27"/>
    <mergeCell ref="B28:E28"/>
    <mergeCell ref="B29:E29"/>
    <mergeCell ref="B30:E30"/>
    <mergeCell ref="B31:E31"/>
    <mergeCell ref="B45:E45"/>
    <mergeCell ref="B46:E46"/>
    <mergeCell ref="B47:E47"/>
    <mergeCell ref="B48:E48"/>
    <mergeCell ref="B49:E49"/>
    <mergeCell ref="A50:E50"/>
    <mergeCell ref="B38:E38"/>
    <mergeCell ref="A40:E40"/>
    <mergeCell ref="A41:G41"/>
    <mergeCell ref="B42:E42"/>
    <mergeCell ref="B43:E43"/>
    <mergeCell ref="B44:E44"/>
    <mergeCell ref="B57:D57"/>
    <mergeCell ref="B58:D58"/>
    <mergeCell ref="B59:D59"/>
    <mergeCell ref="B60:D60"/>
    <mergeCell ref="A61:F61"/>
    <mergeCell ref="A62:G62"/>
    <mergeCell ref="A51:G51"/>
    <mergeCell ref="B52:D52"/>
    <mergeCell ref="B53:D53"/>
    <mergeCell ref="B54:D54"/>
    <mergeCell ref="B55:D55"/>
    <mergeCell ref="B56:D56"/>
    <mergeCell ref="B70:E70"/>
    <mergeCell ref="B71:E71"/>
    <mergeCell ref="B72:E72"/>
    <mergeCell ref="B73:E73"/>
    <mergeCell ref="B74:E74"/>
    <mergeCell ref="A75:E75"/>
    <mergeCell ref="B63:E63"/>
    <mergeCell ref="B64:E64"/>
    <mergeCell ref="B65:F65"/>
    <mergeCell ref="A66:F66"/>
    <mergeCell ref="A67:G67"/>
    <mergeCell ref="B69:E69"/>
    <mergeCell ref="B82:E82"/>
    <mergeCell ref="B83:E83"/>
    <mergeCell ref="A84:E84"/>
    <mergeCell ref="A85:G85"/>
    <mergeCell ref="B86:E86"/>
    <mergeCell ref="B87:E87"/>
    <mergeCell ref="A76:G76"/>
    <mergeCell ref="A77:G77"/>
    <mergeCell ref="B78:E78"/>
    <mergeCell ref="B79:E79"/>
    <mergeCell ref="B80:E80"/>
    <mergeCell ref="B81:E81"/>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117:E117"/>
    <mergeCell ref="B118:E118"/>
    <mergeCell ref="B119:E119"/>
    <mergeCell ref="B120:E120"/>
    <mergeCell ref="B121:E121"/>
    <mergeCell ref="B122:E122"/>
    <mergeCell ref="B102:E102"/>
    <mergeCell ref="B103:E103"/>
    <mergeCell ref="A104:F104"/>
    <mergeCell ref="A105:G105"/>
    <mergeCell ref="A114:F114"/>
    <mergeCell ref="A115:G115"/>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272</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3</v>
      </c>
      <c r="G22" s="416"/>
    </row>
    <row r="23" spans="1:8" ht="12.75" customHeight="1" x14ac:dyDescent="0.2">
      <c r="A23" s="372" t="s">
        <v>31</v>
      </c>
      <c r="B23" s="373"/>
      <c r="C23" s="373"/>
      <c r="D23" s="373"/>
      <c r="E23" s="374"/>
      <c r="F23" s="407" t="s">
        <v>210</v>
      </c>
      <c r="G23" s="408"/>
    </row>
    <row r="24" spans="1:8" ht="13.9" customHeight="1" x14ac:dyDescent="0.2">
      <c r="A24" s="411" t="s">
        <v>221</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46"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0.1</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47"/>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48"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47" t="str">
        <f>'Insumos Gerais'!A13</f>
        <v>EQUIPAMENTOS (USO GERAL)</v>
      </c>
      <c r="C107" s="87"/>
      <c r="D107" s="87"/>
      <c r="E107" s="88">
        <f>'Insumos Gerais'!E27</f>
        <v>0</v>
      </c>
      <c r="F107" s="90">
        <v>1</v>
      </c>
      <c r="G107" s="7">
        <f>ROUND((E107*F107),2)</f>
        <v>0</v>
      </c>
      <c r="H107" s="72"/>
    </row>
    <row r="108" spans="1:8" s="68" customFormat="1" x14ac:dyDescent="0.2">
      <c r="A108" s="73" t="s">
        <v>36</v>
      </c>
      <c r="B108" s="147"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147" t="str">
        <f>'Insumos Gerais'!A38</f>
        <v>EQUIPAMENTOS GERAIS - POSTOS NOTURNOS</v>
      </c>
      <c r="C109" s="87"/>
      <c r="D109" s="87"/>
      <c r="E109" s="88">
        <f>'Insumos Gerais'!E43</f>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156" t="str">
        <f>'Insumos Gerais'!A65</f>
        <v>VEÍCULOS E OUTROS</v>
      </c>
      <c r="C112" s="87"/>
      <c r="D112" s="87"/>
      <c r="E112" s="88">
        <f>'Insumos Gerais'!E75</f>
        <v>0</v>
      </c>
      <c r="F112" s="91">
        <v>1</v>
      </c>
      <c r="G112" s="7">
        <f t="shared" si="5"/>
        <v>0</v>
      </c>
      <c r="H112" s="72"/>
    </row>
    <row r="113" spans="1:8" s="68" customFormat="1" x14ac:dyDescent="0.2">
      <c r="A113" s="73" t="s">
        <v>56</v>
      </c>
      <c r="B113" s="147"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6</v>
      </c>
      <c r="H138" s="10"/>
    </row>
    <row r="139" spans="1:8" s="60" customFormat="1" x14ac:dyDescent="0.2">
      <c r="A139" s="57"/>
      <c r="B139" s="469" t="s">
        <v>4</v>
      </c>
      <c r="C139" s="469"/>
      <c r="D139" s="469"/>
      <c r="E139" s="469"/>
      <c r="F139" s="58">
        <f>F22</f>
        <v>3</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47"/>
    </row>
    <row r="148" spans="7:7" x14ac:dyDescent="0.2">
      <c r="G148" s="64"/>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3">
    <tabColor rgb="FF92D05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214</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22</v>
      </c>
      <c r="G22" s="416"/>
    </row>
    <row r="23" spans="1:8" ht="12.75" customHeight="1" x14ac:dyDescent="0.2">
      <c r="A23" s="372" t="s">
        <v>31</v>
      </c>
      <c r="B23" s="373"/>
      <c r="C23" s="373"/>
      <c r="D23" s="373"/>
      <c r="E23" s="374"/>
      <c r="F23" s="407" t="s">
        <v>210</v>
      </c>
      <c r="G23" s="408"/>
    </row>
    <row r="24" spans="1:8" ht="12.75" customHeight="1" x14ac:dyDescent="0.2">
      <c r="A24" s="411" t="s">
        <v>222</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03"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01"/>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02"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01" t="str">
        <f>'Insumos Gerais'!A13</f>
        <v>EQUIPAMENTOS (USO GERAL)</v>
      </c>
      <c r="C107" s="87"/>
      <c r="D107" s="87"/>
      <c r="E107" s="88">
        <f>'Insumos Gerais'!E27</f>
        <v>0</v>
      </c>
      <c r="F107" s="90">
        <v>1</v>
      </c>
      <c r="G107" s="7">
        <f>ROUND((E107*F107),2)</f>
        <v>0</v>
      </c>
      <c r="H107" s="72"/>
    </row>
    <row r="108" spans="1:8" s="68" customFormat="1" x14ac:dyDescent="0.2">
      <c r="A108" s="73" t="s">
        <v>36</v>
      </c>
      <c r="B108" s="101"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101" t="str">
        <f>'Insumos Gerais'!A38</f>
        <v>EQUIPAMENTOS GERAIS - POSTOS NOTURNOS</v>
      </c>
      <c r="C109" s="87"/>
      <c r="D109" s="87"/>
      <c r="E109" s="88">
        <f>'Insumos Gerais'!E43</f>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87"/>
      <c r="D112" s="87"/>
      <c r="E112" s="88">
        <v>0</v>
      </c>
      <c r="F112" s="91">
        <v>1</v>
      </c>
      <c r="G112" s="7">
        <f t="shared" si="5"/>
        <v>0</v>
      </c>
      <c r="H112" s="72"/>
    </row>
    <row r="113" spans="1:8" s="68" customFormat="1" x14ac:dyDescent="0.2">
      <c r="A113" s="73" t="s">
        <v>56</v>
      </c>
      <c r="B113" s="101"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44</v>
      </c>
      <c r="H138" s="10"/>
    </row>
    <row r="139" spans="1:8" s="60" customFormat="1" x14ac:dyDescent="0.2">
      <c r="A139" s="57"/>
      <c r="B139" s="469" t="s">
        <v>4</v>
      </c>
      <c r="C139" s="469"/>
      <c r="D139" s="469"/>
      <c r="E139" s="469"/>
      <c r="F139" s="58">
        <f>F22</f>
        <v>22</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01"/>
    </row>
    <row r="148" spans="7:7" x14ac:dyDescent="0.2">
      <c r="G148" s="64"/>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4">
    <tabColor rgb="FF92D050"/>
  </sheetPr>
  <dimension ref="A1:H148"/>
  <sheetViews>
    <sheetView view="pageBreakPreview" zoomScaleNormal="100" zoomScaleSheetLayoutView="100" workbookViewId="0">
      <selection activeCell="B2" sqref="B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218</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1</v>
      </c>
      <c r="G22" s="416"/>
    </row>
    <row r="23" spans="1:8" ht="12.75" customHeight="1" x14ac:dyDescent="0.2">
      <c r="A23" s="372" t="s">
        <v>31</v>
      </c>
      <c r="B23" s="373"/>
      <c r="C23" s="373"/>
      <c r="D23" s="373"/>
      <c r="E23" s="374"/>
      <c r="F23" s="407" t="s">
        <v>210</v>
      </c>
      <c r="G23" s="408"/>
    </row>
    <row r="24" spans="1:8" ht="13.9" customHeight="1" x14ac:dyDescent="0.2">
      <c r="A24" s="411" t="s">
        <v>221</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03"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0.1</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01"/>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02"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01" t="str">
        <f>'Insumos Gerais'!A13</f>
        <v>EQUIPAMENTOS (USO GERAL)</v>
      </c>
      <c r="C107" s="87"/>
      <c r="D107" s="87"/>
      <c r="E107" s="88">
        <f>'Insumos Gerais'!E27</f>
        <v>0</v>
      </c>
      <c r="F107" s="90">
        <v>1</v>
      </c>
      <c r="G107" s="7">
        <f>ROUND((E107*F107),2)</f>
        <v>0</v>
      </c>
      <c r="H107" s="72"/>
    </row>
    <row r="108" spans="1:8" s="68" customFormat="1" x14ac:dyDescent="0.2">
      <c r="A108" s="73" t="s">
        <v>36</v>
      </c>
      <c r="B108" s="101" t="str">
        <f>'Insumos Gerais'!A28</f>
        <v>EQUIPAMENTOS E EPI'S - POSTOS ARMADOS</v>
      </c>
      <c r="C108" s="87"/>
      <c r="D108" s="87"/>
      <c r="E108" s="88">
        <f>'Insumos Gerais'!E37</f>
        <v>0</v>
      </c>
      <c r="F108" s="91">
        <v>1</v>
      </c>
      <c r="G108" s="7">
        <f t="shared" ref="G108:G109" si="4">ROUND((E108*F108),2)</f>
        <v>0</v>
      </c>
      <c r="H108" s="72"/>
    </row>
    <row r="109" spans="1:8" s="68" customFormat="1" x14ac:dyDescent="0.2">
      <c r="A109" s="20" t="s">
        <v>37</v>
      </c>
      <c r="B109" s="101" t="str">
        <f>'Insumos Gerais'!A38</f>
        <v>EQUIPAMENTOS GERAIS - POSTOS NOTURNOS</v>
      </c>
      <c r="C109" s="87"/>
      <c r="D109" s="87"/>
      <c r="E109" s="88">
        <f>'Insumos Gerais'!E43</f>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87"/>
      <c r="D112" s="87"/>
      <c r="E112" s="88">
        <v>0</v>
      </c>
      <c r="F112" s="91">
        <v>1</v>
      </c>
      <c r="G112" s="7">
        <f t="shared" si="5"/>
        <v>0</v>
      </c>
      <c r="H112" s="72"/>
    </row>
    <row r="113" spans="1:8" s="68" customFormat="1" x14ac:dyDescent="0.2">
      <c r="A113" s="73" t="s">
        <v>56</v>
      </c>
      <c r="B113" s="101"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2</v>
      </c>
      <c r="H138" s="10"/>
    </row>
    <row r="139" spans="1:8" s="60" customFormat="1" x14ac:dyDescent="0.2">
      <c r="A139" s="57"/>
      <c r="B139" s="469" t="s">
        <v>4</v>
      </c>
      <c r="C139" s="469"/>
      <c r="D139" s="469"/>
      <c r="E139" s="469"/>
      <c r="F139" s="58">
        <f>F22</f>
        <v>1</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01"/>
    </row>
    <row r="148" spans="7:7" x14ac:dyDescent="0.2">
      <c r="G148" s="64"/>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5">
    <tabColor rgb="FF92D050"/>
  </sheetPr>
  <dimension ref="A1:H148"/>
  <sheetViews>
    <sheetView view="pageBreakPreview" zoomScaleNormal="100" zoomScaleSheetLayoutView="100" workbookViewId="0">
      <selection activeCell="A2" sqref="A2:J2"/>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291</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302</v>
      </c>
      <c r="G16" s="396"/>
      <c r="H16" s="3"/>
    </row>
    <row r="17" spans="1:8" ht="14.1" customHeight="1" x14ac:dyDescent="0.2">
      <c r="A17" s="385" t="s">
        <v>27</v>
      </c>
      <c r="B17" s="386"/>
      <c r="C17" s="386"/>
      <c r="D17" s="386"/>
      <c r="E17" s="387"/>
      <c r="F17" s="395" t="s">
        <v>219</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2</v>
      </c>
      <c r="G22" s="416"/>
    </row>
    <row r="23" spans="1:8" ht="12.75" customHeight="1" x14ac:dyDescent="0.2">
      <c r="A23" s="372" t="s">
        <v>31</v>
      </c>
      <c r="B23" s="373"/>
      <c r="C23" s="373"/>
      <c r="D23" s="373"/>
      <c r="E23" s="374"/>
      <c r="F23" s="407" t="s">
        <v>210</v>
      </c>
      <c r="G23" s="408"/>
    </row>
    <row r="24" spans="1:8" ht="13.9" customHeight="1" x14ac:dyDescent="0.2">
      <c r="A24" s="411" t="s">
        <v>221</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103"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101"/>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102"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101" t="str">
        <f>'Insumos Gerais'!A13</f>
        <v>EQUIPAMENTOS (USO GERAL)</v>
      </c>
      <c r="C107" s="87"/>
      <c r="D107" s="87"/>
      <c r="E107" s="88">
        <f>'Insumos Gerais'!E27</f>
        <v>0</v>
      </c>
      <c r="F107" s="90">
        <v>1</v>
      </c>
      <c r="G107" s="7">
        <f>ROUND((E107*F107),2)</f>
        <v>0</v>
      </c>
      <c r="H107" s="72"/>
    </row>
    <row r="108" spans="1:8" s="68" customFormat="1" x14ac:dyDescent="0.2">
      <c r="A108" s="73" t="s">
        <v>36</v>
      </c>
      <c r="B108" s="236" t="str">
        <f>'Insumos Gerais'!A28</f>
        <v>EQUIPAMENTOS E EPI'S - POSTOS ARMADOS</v>
      </c>
      <c r="C108" s="237"/>
      <c r="D108" s="237"/>
      <c r="E108" s="88">
        <v>0</v>
      </c>
      <c r="F108" s="91">
        <v>1</v>
      </c>
      <c r="G108" s="7">
        <f t="shared" ref="G108:G109" si="4">ROUND((E108*F108),2)</f>
        <v>0</v>
      </c>
      <c r="H108" s="72"/>
    </row>
    <row r="109" spans="1:8" s="68" customFormat="1" x14ac:dyDescent="0.2">
      <c r="A109" s="20" t="s">
        <v>37</v>
      </c>
      <c r="B109" s="101" t="str">
        <f>'Insumos Gerais'!A38</f>
        <v>EQUIPAMENTOS GERAIS - POSTOS NOTURNOS</v>
      </c>
      <c r="C109" s="87"/>
      <c r="D109" s="87"/>
      <c r="E109" s="88">
        <f>'Insumos Gerais'!E43</f>
        <v>0</v>
      </c>
      <c r="F109" s="91">
        <v>1</v>
      </c>
      <c r="G109" s="7">
        <f t="shared" si="4"/>
        <v>0</v>
      </c>
      <c r="H109" s="72"/>
    </row>
    <row r="110" spans="1:8" s="68" customFormat="1" x14ac:dyDescent="0.2">
      <c r="A110" s="73" t="s">
        <v>38</v>
      </c>
      <c r="B110" s="156" t="str">
        <f>'Insumos Gerais'!A44</f>
        <v>EPI'S E OUTROS ( USO GERAL)</v>
      </c>
      <c r="C110" s="87"/>
      <c r="D110" s="87"/>
      <c r="E110" s="88">
        <f>'Insumos Gerais'!E49</f>
        <v>0</v>
      </c>
      <c r="F110" s="91">
        <v>1</v>
      </c>
      <c r="G110" s="7">
        <f t="shared" ref="G110:G112" si="5">ROUND((E110*F110),2)</f>
        <v>0</v>
      </c>
      <c r="H110" s="72"/>
    </row>
    <row r="111" spans="1:8" s="68" customFormat="1" x14ac:dyDescent="0.2">
      <c r="A111" s="73" t="s">
        <v>40</v>
      </c>
      <c r="B111" s="156" t="str">
        <f>'Insumos Gerais'!A50</f>
        <v>UNIFORMES (USO GERAL)</v>
      </c>
      <c r="C111" s="87"/>
      <c r="D111" s="87"/>
      <c r="E111" s="88">
        <f>'Insumos Gerais'!E64</f>
        <v>0</v>
      </c>
      <c r="F111" s="91">
        <v>1</v>
      </c>
      <c r="G111" s="7">
        <f t="shared" si="5"/>
        <v>0</v>
      </c>
      <c r="H111" s="72"/>
    </row>
    <row r="112" spans="1:8" s="68" customFormat="1" x14ac:dyDescent="0.2">
      <c r="A112" s="73" t="s">
        <v>54</v>
      </c>
      <c r="B112" s="236" t="str">
        <f>'Insumos Gerais'!A65</f>
        <v>VEÍCULOS E OUTROS</v>
      </c>
      <c r="C112" s="237"/>
      <c r="D112" s="237"/>
      <c r="E112" s="88">
        <v>0</v>
      </c>
      <c r="F112" s="91">
        <v>1</v>
      </c>
      <c r="G112" s="7">
        <f t="shared" si="5"/>
        <v>0</v>
      </c>
      <c r="H112" s="72"/>
    </row>
    <row r="113" spans="1:8" s="68" customFormat="1" x14ac:dyDescent="0.2">
      <c r="A113" s="73" t="s">
        <v>56</v>
      </c>
      <c r="B113" s="101"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4</v>
      </c>
      <c r="H138" s="10"/>
    </row>
    <row r="139" spans="1:8" s="60" customFormat="1" x14ac:dyDescent="0.2">
      <c r="A139" s="57"/>
      <c r="B139" s="469" t="s">
        <v>4</v>
      </c>
      <c r="C139" s="469"/>
      <c r="D139" s="469"/>
      <c r="E139" s="469"/>
      <c r="F139" s="58">
        <f>F22</f>
        <v>2</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101"/>
    </row>
    <row r="148" spans="7:7" x14ac:dyDescent="0.2">
      <c r="G148" s="64"/>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39997558519241921"/>
  </sheetPr>
  <dimension ref="A1:H148"/>
  <sheetViews>
    <sheetView view="pageBreakPreview" topLeftCell="A13" zoomScaleNormal="100" zoomScaleSheetLayoutView="100" workbookViewId="0">
      <selection activeCell="F29" sqref="F29"/>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368</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303</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209</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4</v>
      </c>
      <c r="G22" s="416"/>
    </row>
    <row r="23" spans="1:8" ht="12.75" customHeight="1" x14ac:dyDescent="0.2">
      <c r="A23" s="372" t="s">
        <v>31</v>
      </c>
      <c r="B23" s="373"/>
      <c r="C23" s="373"/>
      <c r="D23" s="373"/>
      <c r="E23" s="374"/>
      <c r="F23" s="407" t="s">
        <v>210</v>
      </c>
      <c r="G23" s="408"/>
    </row>
    <row r="24" spans="1:8" ht="12.75" customHeight="1" x14ac:dyDescent="0.2">
      <c r="A24" s="411" t="s">
        <v>215</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228"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ROUND((ROUND((0*15.22),2)/52.5)*60,2)</f>
        <v>0</v>
      </c>
      <c r="G30" s="7">
        <f>ROUND(ROUND(ROUND((SUM(G27:G29)+G32)/220,2)*0.2,2)*F30,2)</f>
        <v>0</v>
      </c>
      <c r="H30" s="8"/>
    </row>
    <row r="31" spans="1:8" x14ac:dyDescent="0.2">
      <c r="A31" s="69" t="s">
        <v>38</v>
      </c>
      <c r="B31" s="377" t="s">
        <v>230</v>
      </c>
      <c r="C31" s="378"/>
      <c r="D31" s="378"/>
      <c r="E31" s="379"/>
      <c r="F31" s="71">
        <v>0.1177</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229"/>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230"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229" t="str">
        <f>'Insumos Gerais'!A13</f>
        <v>EQUIPAMENTOS (USO GERAL)</v>
      </c>
      <c r="C107" s="87"/>
      <c r="D107" s="87"/>
      <c r="E107" s="88">
        <f>'Insumos Gerais'!E27</f>
        <v>0</v>
      </c>
      <c r="F107" s="90">
        <v>1</v>
      </c>
      <c r="G107" s="7">
        <f>ROUND((E107*F107),2)</f>
        <v>0</v>
      </c>
      <c r="H107" s="72"/>
    </row>
    <row r="108" spans="1:8" s="68" customFormat="1" x14ac:dyDescent="0.2">
      <c r="A108" s="73" t="s">
        <v>36</v>
      </c>
      <c r="B108" s="236" t="str">
        <f>'Insumos Gerais'!A28</f>
        <v>EQUIPAMENTOS E EPI'S - POSTOS ARMADOS</v>
      </c>
      <c r="C108" s="237"/>
      <c r="D108" s="237"/>
      <c r="E108" s="88">
        <v>0</v>
      </c>
      <c r="F108" s="91">
        <v>1</v>
      </c>
      <c r="G108" s="7">
        <f t="shared" ref="G108:G112"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229" t="str">
        <f>'Insumos Gerais'!A44</f>
        <v>EPI'S E OUTROS ( USO GERAL)</v>
      </c>
      <c r="C110" s="87"/>
      <c r="D110" s="87"/>
      <c r="E110" s="88">
        <f>'Insumos Gerais'!E49</f>
        <v>0</v>
      </c>
      <c r="F110" s="91">
        <v>1</v>
      </c>
      <c r="G110" s="7">
        <f t="shared" si="4"/>
        <v>0</v>
      </c>
      <c r="H110" s="72"/>
    </row>
    <row r="111" spans="1:8" s="68" customFormat="1" x14ac:dyDescent="0.2">
      <c r="A111" s="73" t="s">
        <v>40</v>
      </c>
      <c r="B111" s="229" t="str">
        <f>'Insumos Gerais'!A50</f>
        <v>UNIFORMES (USO GERAL)</v>
      </c>
      <c r="C111" s="87"/>
      <c r="D111" s="87"/>
      <c r="E111" s="88">
        <f>'Insumos Gerais'!E64</f>
        <v>0</v>
      </c>
      <c r="F111" s="91">
        <v>1</v>
      </c>
      <c r="G111" s="7">
        <f t="shared" si="4"/>
        <v>0</v>
      </c>
      <c r="H111" s="72"/>
    </row>
    <row r="112" spans="1:8" s="68" customFormat="1" x14ac:dyDescent="0.2">
      <c r="A112" s="73" t="s">
        <v>54</v>
      </c>
      <c r="B112" s="236" t="str">
        <f>'Insumos Gerais'!A65</f>
        <v>VEÍCULOS E OUTROS</v>
      </c>
      <c r="C112" s="237"/>
      <c r="D112" s="237"/>
      <c r="E112" s="88">
        <v>0</v>
      </c>
      <c r="F112" s="91">
        <v>1</v>
      </c>
      <c r="G112" s="7">
        <f t="shared" si="4"/>
        <v>0</v>
      </c>
      <c r="H112" s="72"/>
    </row>
    <row r="113" spans="1:8" s="68" customFormat="1" x14ac:dyDescent="0.2">
      <c r="A113" s="73" t="s">
        <v>56</v>
      </c>
      <c r="B113" s="229"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8</v>
      </c>
      <c r="H138" s="10"/>
    </row>
    <row r="139" spans="1:8" s="60" customFormat="1" x14ac:dyDescent="0.2">
      <c r="A139" s="57"/>
      <c r="B139" s="469" t="s">
        <v>4</v>
      </c>
      <c r="C139" s="469"/>
      <c r="D139" s="469"/>
      <c r="E139" s="469"/>
      <c r="F139" s="58">
        <f>F22</f>
        <v>4</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229"/>
    </row>
    <row r="148" spans="7:7" x14ac:dyDescent="0.2">
      <c r="G148" s="64"/>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39997558519241921"/>
  </sheetPr>
  <dimension ref="A1:H148"/>
  <sheetViews>
    <sheetView view="pageBreakPreview" topLeftCell="A106" zoomScaleNormal="100" zoomScaleSheetLayoutView="100" workbookViewId="0">
      <selection activeCell="E55" sqref="E55"/>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59" t="s">
        <v>19</v>
      </c>
      <c r="B1" s="359"/>
      <c r="C1" s="359"/>
      <c r="D1" s="359"/>
      <c r="E1" s="359"/>
      <c r="F1" s="359"/>
      <c r="G1" s="359"/>
    </row>
    <row r="2" spans="1:8" ht="18.75" customHeight="1" x14ac:dyDescent="0.2">
      <c r="A2" s="357" t="s">
        <v>296</v>
      </c>
      <c r="B2" s="358"/>
      <c r="C2" s="358"/>
      <c r="D2" s="2"/>
      <c r="E2" s="2"/>
      <c r="F2" s="360" t="s">
        <v>368</v>
      </c>
      <c r="G2" s="361"/>
    </row>
    <row r="3" spans="1:8" ht="18" customHeight="1" x14ac:dyDescent="0.2">
      <c r="A3" s="362" t="s">
        <v>294</v>
      </c>
      <c r="B3" s="363"/>
      <c r="C3" s="363"/>
      <c r="D3" s="363"/>
      <c r="E3" s="363"/>
      <c r="F3" s="363"/>
      <c r="G3" s="364"/>
    </row>
    <row r="4" spans="1:8" ht="18" customHeight="1" thickBot="1" x14ac:dyDescent="0.25">
      <c r="A4" s="365"/>
      <c r="B4" s="366"/>
      <c r="C4" s="366"/>
      <c r="D4" s="366"/>
      <c r="E4" s="366"/>
      <c r="F4" s="366"/>
      <c r="G4" s="367"/>
    </row>
    <row r="5" spans="1:8" ht="14.1" customHeight="1" x14ac:dyDescent="0.2">
      <c r="A5" s="368" t="s">
        <v>6</v>
      </c>
      <c r="B5" s="369"/>
      <c r="C5" s="369"/>
      <c r="D5" s="369"/>
      <c r="E5" s="369"/>
      <c r="F5" s="370"/>
      <c r="G5" s="371"/>
    </row>
    <row r="6" spans="1:8" ht="12.75" customHeight="1" x14ac:dyDescent="0.2">
      <c r="A6" s="372" t="s">
        <v>21</v>
      </c>
      <c r="B6" s="373"/>
      <c r="C6" s="373"/>
      <c r="D6" s="373"/>
      <c r="E6" s="374"/>
      <c r="F6" s="375"/>
      <c r="G6" s="376"/>
    </row>
    <row r="7" spans="1:8" ht="14.1" customHeight="1" x14ac:dyDescent="0.2">
      <c r="A7" s="372" t="s">
        <v>12</v>
      </c>
      <c r="B7" s="373"/>
      <c r="C7" s="373"/>
      <c r="D7" s="373"/>
      <c r="E7" s="374"/>
      <c r="F7" s="388" t="s">
        <v>22</v>
      </c>
      <c r="G7" s="376"/>
    </row>
    <row r="8" spans="1:8" ht="19.5" customHeight="1" x14ac:dyDescent="0.2">
      <c r="A8" s="389" t="s">
        <v>369</v>
      </c>
      <c r="B8" s="390"/>
      <c r="C8" s="390"/>
      <c r="D8" s="390"/>
      <c r="E8" s="390"/>
      <c r="F8" s="390"/>
      <c r="G8" s="391"/>
    </row>
    <row r="9" spans="1:8" ht="19.5" customHeight="1" x14ac:dyDescent="0.2">
      <c r="A9" s="392"/>
      <c r="B9" s="393"/>
      <c r="C9" s="393"/>
      <c r="D9" s="393"/>
      <c r="E9" s="393"/>
      <c r="F9" s="393"/>
      <c r="G9" s="394"/>
    </row>
    <row r="10" spans="1:8" ht="14.1" customHeight="1" x14ac:dyDescent="0.2">
      <c r="A10" s="385" t="s">
        <v>23</v>
      </c>
      <c r="B10" s="386"/>
      <c r="C10" s="386"/>
      <c r="D10" s="386"/>
      <c r="E10" s="387"/>
      <c r="F10" s="383">
        <v>2024</v>
      </c>
      <c r="G10" s="384"/>
    </row>
    <row r="11" spans="1:8" ht="14.1" customHeight="1" x14ac:dyDescent="0.2">
      <c r="A11" s="385" t="s">
        <v>24</v>
      </c>
      <c r="B11" s="386"/>
      <c r="C11" s="386"/>
      <c r="D11" s="386"/>
      <c r="E11" s="387"/>
      <c r="F11" s="383" t="s">
        <v>207</v>
      </c>
      <c r="G11" s="384"/>
    </row>
    <row r="12" spans="1:8" ht="14.1" customHeight="1" x14ac:dyDescent="0.2">
      <c r="A12" s="385" t="s">
        <v>25</v>
      </c>
      <c r="B12" s="386"/>
      <c r="C12" s="386"/>
      <c r="D12" s="386"/>
      <c r="E12" s="387"/>
      <c r="F12" s="383" t="s">
        <v>26</v>
      </c>
      <c r="G12" s="384"/>
    </row>
    <row r="13" spans="1:8" ht="14.1" customHeight="1" x14ac:dyDescent="0.2">
      <c r="A13" s="385" t="s">
        <v>11</v>
      </c>
      <c r="B13" s="386"/>
      <c r="C13" s="386"/>
      <c r="D13" s="386"/>
      <c r="E13" s="387"/>
      <c r="F13" s="383" t="s">
        <v>10</v>
      </c>
      <c r="G13" s="384"/>
    </row>
    <row r="14" spans="1:8" ht="14.1" customHeight="1" x14ac:dyDescent="0.2">
      <c r="A14" s="401" t="s">
        <v>7</v>
      </c>
      <c r="B14" s="402"/>
      <c r="C14" s="402"/>
      <c r="D14" s="402"/>
      <c r="E14" s="402"/>
      <c r="F14" s="403"/>
      <c r="G14" s="404"/>
    </row>
    <row r="15" spans="1:8" ht="14.1" customHeight="1" x14ac:dyDescent="0.2">
      <c r="A15" s="385" t="s">
        <v>8</v>
      </c>
      <c r="B15" s="386"/>
      <c r="C15" s="386"/>
      <c r="D15" s="386"/>
      <c r="E15" s="387"/>
      <c r="F15" s="405">
        <v>1412</v>
      </c>
      <c r="G15" s="406"/>
    </row>
    <row r="16" spans="1:8" ht="14.1" customHeight="1" x14ac:dyDescent="0.2">
      <c r="A16" s="385" t="s">
        <v>0</v>
      </c>
      <c r="B16" s="386"/>
      <c r="C16" s="386"/>
      <c r="D16" s="386"/>
      <c r="E16" s="387"/>
      <c r="F16" s="395" t="s">
        <v>304</v>
      </c>
      <c r="G16" s="396"/>
      <c r="H16" s="3"/>
    </row>
    <row r="17" spans="1:8" ht="14.1" customHeight="1" x14ac:dyDescent="0.2">
      <c r="A17" s="385" t="s">
        <v>27</v>
      </c>
      <c r="B17" s="386"/>
      <c r="C17" s="386"/>
      <c r="D17" s="386"/>
      <c r="E17" s="387"/>
      <c r="F17" s="395" t="s">
        <v>208</v>
      </c>
      <c r="G17" s="396"/>
      <c r="H17" s="3"/>
    </row>
    <row r="18" spans="1:8" ht="14.1" customHeight="1" x14ac:dyDescent="0.2">
      <c r="A18" s="385" t="s">
        <v>1</v>
      </c>
      <c r="B18" s="386"/>
      <c r="C18" s="386"/>
      <c r="D18" s="386"/>
      <c r="E18" s="387"/>
      <c r="F18" s="397">
        <v>0</v>
      </c>
      <c r="G18" s="398"/>
    </row>
    <row r="19" spans="1:8" ht="14.1" customHeight="1" x14ac:dyDescent="0.2">
      <c r="A19" s="372" t="s">
        <v>9</v>
      </c>
      <c r="B19" s="373"/>
      <c r="C19" s="373"/>
      <c r="D19" s="373"/>
      <c r="E19" s="374"/>
      <c r="F19" s="399">
        <v>45292</v>
      </c>
      <c r="G19" s="400"/>
    </row>
    <row r="20" spans="1:8" ht="14.1" customHeight="1" x14ac:dyDescent="0.2">
      <c r="A20" s="385" t="s">
        <v>28</v>
      </c>
      <c r="B20" s="386"/>
      <c r="C20" s="386"/>
      <c r="D20" s="386"/>
      <c r="E20" s="387"/>
      <c r="F20" s="413" t="s">
        <v>220</v>
      </c>
      <c r="G20" s="414"/>
    </row>
    <row r="21" spans="1:8" ht="14.1" customHeight="1" x14ac:dyDescent="0.2">
      <c r="A21" s="372" t="s">
        <v>29</v>
      </c>
      <c r="B21" s="373"/>
      <c r="C21" s="373"/>
      <c r="D21" s="373"/>
      <c r="E21" s="374"/>
      <c r="F21" s="415">
        <v>2</v>
      </c>
      <c r="G21" s="416"/>
    </row>
    <row r="22" spans="1:8" ht="14.1" customHeight="1" x14ac:dyDescent="0.2">
      <c r="A22" s="372" t="s">
        <v>30</v>
      </c>
      <c r="B22" s="373"/>
      <c r="C22" s="373"/>
      <c r="D22" s="373"/>
      <c r="E22" s="374"/>
      <c r="F22" s="415">
        <v>4</v>
      </c>
      <c r="G22" s="416"/>
    </row>
    <row r="23" spans="1:8" ht="12.75" customHeight="1" x14ac:dyDescent="0.2">
      <c r="A23" s="372" t="s">
        <v>31</v>
      </c>
      <c r="B23" s="373"/>
      <c r="C23" s="373"/>
      <c r="D23" s="373"/>
      <c r="E23" s="374"/>
      <c r="F23" s="407" t="s">
        <v>210</v>
      </c>
      <c r="G23" s="408"/>
    </row>
    <row r="24" spans="1:8" ht="12.75" customHeight="1" x14ac:dyDescent="0.2">
      <c r="A24" s="411" t="s">
        <v>222</v>
      </c>
      <c r="B24" s="375"/>
      <c r="C24" s="375"/>
      <c r="D24" s="375"/>
      <c r="E24" s="375"/>
      <c r="F24" s="375"/>
      <c r="G24" s="376"/>
    </row>
    <row r="25" spans="1:8" x14ac:dyDescent="0.2">
      <c r="A25" s="401" t="s">
        <v>2</v>
      </c>
      <c r="B25" s="402"/>
      <c r="C25" s="402"/>
      <c r="D25" s="402"/>
      <c r="E25" s="402"/>
      <c r="F25" s="403"/>
      <c r="G25" s="404"/>
    </row>
    <row r="26" spans="1:8" x14ac:dyDescent="0.2">
      <c r="A26" s="4">
        <v>1</v>
      </c>
      <c r="B26" s="412" t="s">
        <v>32</v>
      </c>
      <c r="C26" s="412"/>
      <c r="D26" s="412"/>
      <c r="E26" s="412"/>
      <c r="F26" s="228" t="s">
        <v>33</v>
      </c>
      <c r="G26" s="6" t="s">
        <v>3</v>
      </c>
    </row>
    <row r="27" spans="1:8" x14ac:dyDescent="0.2">
      <c r="A27" s="69" t="s">
        <v>34</v>
      </c>
      <c r="B27" s="409" t="s">
        <v>123</v>
      </c>
      <c r="C27" s="409"/>
      <c r="D27" s="409"/>
      <c r="E27" s="409"/>
      <c r="F27" s="70">
        <v>1</v>
      </c>
      <c r="G27" s="7">
        <f>F18*F27</f>
        <v>0</v>
      </c>
      <c r="H27" s="8"/>
    </row>
    <row r="28" spans="1:8" x14ac:dyDescent="0.2">
      <c r="A28" s="69" t="s">
        <v>35</v>
      </c>
      <c r="B28" s="410" t="s">
        <v>124</v>
      </c>
      <c r="C28" s="410"/>
      <c r="D28" s="410"/>
      <c r="E28" s="410"/>
      <c r="F28" s="71">
        <f>30%*0</f>
        <v>0</v>
      </c>
      <c r="G28" s="7">
        <f>ROUND(G27*F28,2)</f>
        <v>0</v>
      </c>
      <c r="H28" s="8"/>
    </row>
    <row r="29" spans="1:8" x14ac:dyDescent="0.2">
      <c r="A29" s="69" t="s">
        <v>36</v>
      </c>
      <c r="B29" s="410" t="s">
        <v>20</v>
      </c>
      <c r="C29" s="410"/>
      <c r="D29" s="410"/>
      <c r="E29" s="410"/>
      <c r="F29" s="71">
        <v>0</v>
      </c>
      <c r="G29" s="7">
        <f>ROUND(F15*F29,2)</f>
        <v>0</v>
      </c>
      <c r="H29" s="8"/>
    </row>
    <row r="30" spans="1:8" x14ac:dyDescent="0.2">
      <c r="A30" s="69" t="s">
        <v>37</v>
      </c>
      <c r="B30" s="377" t="s">
        <v>39</v>
      </c>
      <c r="C30" s="378"/>
      <c r="D30" s="378"/>
      <c r="E30" s="379"/>
      <c r="F30" s="70">
        <f>ROUND((ROUND((7*15.22),2)/52.5)*60,2)</f>
        <v>121.76</v>
      </c>
      <c r="G30" s="7">
        <f>ROUND(ROUND(ROUND((SUM(G27:G29)+G32)/220,2)*0.2,2)*F30,2)</f>
        <v>0</v>
      </c>
      <c r="H30" s="8"/>
    </row>
    <row r="31" spans="1:8" x14ac:dyDescent="0.2">
      <c r="A31" s="69" t="s">
        <v>38</v>
      </c>
      <c r="B31" s="377" t="s">
        <v>230</v>
      </c>
      <c r="C31" s="378"/>
      <c r="D31" s="378"/>
      <c r="E31" s="379"/>
      <c r="F31" s="71">
        <v>0.1177</v>
      </c>
      <c r="G31" s="7">
        <f>ROUND(G27*F31,2)</f>
        <v>0</v>
      </c>
      <c r="H31" s="8"/>
    </row>
    <row r="32" spans="1:8" x14ac:dyDescent="0.2">
      <c r="A32" s="69" t="s">
        <v>40</v>
      </c>
      <c r="B32" s="410" t="s">
        <v>136</v>
      </c>
      <c r="C32" s="410"/>
      <c r="D32" s="410"/>
      <c r="E32" s="410"/>
      <c r="F32" s="71"/>
      <c r="G32" s="7">
        <f>ROUND(F18*F32,2)</f>
        <v>0</v>
      </c>
      <c r="H32" s="8"/>
    </row>
    <row r="33" spans="1:8" x14ac:dyDescent="0.2">
      <c r="A33" s="427" t="s">
        <v>41</v>
      </c>
      <c r="B33" s="428"/>
      <c r="C33" s="428"/>
      <c r="D33" s="428"/>
      <c r="E33" s="428"/>
      <c r="F33" s="429"/>
      <c r="G33" s="9">
        <f>SUM(G27:G32)</f>
        <v>0</v>
      </c>
    </row>
    <row r="34" spans="1:8" x14ac:dyDescent="0.2">
      <c r="A34" s="401" t="s">
        <v>42</v>
      </c>
      <c r="B34" s="402"/>
      <c r="C34" s="402"/>
      <c r="D34" s="402"/>
      <c r="E34" s="402"/>
      <c r="F34" s="403"/>
      <c r="G34" s="404"/>
    </row>
    <row r="35" spans="1:8" x14ac:dyDescent="0.2">
      <c r="A35" s="421" t="s">
        <v>43</v>
      </c>
      <c r="B35" s="422"/>
      <c r="C35" s="422"/>
      <c r="D35" s="422"/>
      <c r="E35" s="422"/>
      <c r="F35" s="422"/>
      <c r="G35" s="423"/>
      <c r="H35" s="10"/>
    </row>
    <row r="36" spans="1:8" s="15" customFormat="1" x14ac:dyDescent="0.2">
      <c r="A36" s="73" t="s">
        <v>34</v>
      </c>
      <c r="B36" s="424" t="s">
        <v>44</v>
      </c>
      <c r="C36" s="425"/>
      <c r="D36" s="425"/>
      <c r="E36" s="426"/>
      <c r="F36" s="74">
        <f>8.33%*0</f>
        <v>0</v>
      </c>
      <c r="G36" s="13">
        <f>ROUND(G$33*F36,2)</f>
        <v>0</v>
      </c>
      <c r="H36" s="229"/>
    </row>
    <row r="37" spans="1:8" x14ac:dyDescent="0.2">
      <c r="A37" s="75" t="s">
        <v>35</v>
      </c>
      <c r="B37" s="380" t="s">
        <v>125</v>
      </c>
      <c r="C37" s="381"/>
      <c r="D37" s="381"/>
      <c r="E37" s="382"/>
      <c r="F37" s="76">
        <f>ROUND((1/11)+(1/11)/3, 3)*0</f>
        <v>0</v>
      </c>
      <c r="G37" s="16">
        <f>ROUND(G$33*F37,2)</f>
        <v>0</v>
      </c>
      <c r="H37" s="10"/>
    </row>
    <row r="38" spans="1:8" x14ac:dyDescent="0.2">
      <c r="A38" s="77"/>
      <c r="B38" s="417" t="s">
        <v>45</v>
      </c>
      <c r="C38" s="417"/>
      <c r="D38" s="417"/>
      <c r="E38" s="417"/>
      <c r="F38" s="78">
        <f>SUM(F36:F37)</f>
        <v>0</v>
      </c>
      <c r="G38" s="13"/>
      <c r="H38" s="10"/>
    </row>
    <row r="39" spans="1:8" x14ac:dyDescent="0.2">
      <c r="A39" s="79" t="s">
        <v>36</v>
      </c>
      <c r="B39" s="80" t="s">
        <v>46</v>
      </c>
      <c r="C39" s="81"/>
      <c r="D39" s="81"/>
      <c r="E39" s="81"/>
      <c r="F39" s="82">
        <f>ROUND((F50*F38),4)</f>
        <v>0</v>
      </c>
      <c r="G39" s="17">
        <f>ROUND(G$33*F39,2)</f>
        <v>0</v>
      </c>
      <c r="H39" s="10"/>
    </row>
    <row r="40" spans="1:8" x14ac:dyDescent="0.2">
      <c r="A40" s="418" t="s">
        <v>47</v>
      </c>
      <c r="B40" s="419"/>
      <c r="C40" s="419"/>
      <c r="D40" s="419"/>
      <c r="E40" s="420"/>
      <c r="F40" s="83">
        <f>ROUND(SUM(F38:F39),4)</f>
        <v>0</v>
      </c>
      <c r="G40" s="84">
        <f>SUM(G36:G39)</f>
        <v>0</v>
      </c>
      <c r="H40" s="10">
        <f>ROUND(G33*F40,2)</f>
        <v>0</v>
      </c>
    </row>
    <row r="41" spans="1:8" x14ac:dyDescent="0.2">
      <c r="A41" s="421" t="s">
        <v>126</v>
      </c>
      <c r="B41" s="422"/>
      <c r="C41" s="422"/>
      <c r="D41" s="422"/>
      <c r="E41" s="422"/>
      <c r="F41" s="422"/>
      <c r="G41" s="423"/>
      <c r="H41" s="10"/>
    </row>
    <row r="42" spans="1:8" x14ac:dyDescent="0.2">
      <c r="A42" s="85" t="s">
        <v>34</v>
      </c>
      <c r="B42" s="424" t="s">
        <v>48</v>
      </c>
      <c r="C42" s="425"/>
      <c r="D42" s="425"/>
      <c r="E42" s="426"/>
      <c r="F42" s="86">
        <f>20%*0</f>
        <v>0</v>
      </c>
      <c r="G42" s="21">
        <f>ROUND(G$33*F42,2)</f>
        <v>0</v>
      </c>
      <c r="H42" s="10"/>
    </row>
    <row r="43" spans="1:8" x14ac:dyDescent="0.2">
      <c r="A43" s="73" t="s">
        <v>35</v>
      </c>
      <c r="B43" s="377" t="s">
        <v>49</v>
      </c>
      <c r="C43" s="378"/>
      <c r="D43" s="378"/>
      <c r="E43" s="379"/>
      <c r="F43" s="74">
        <f>2.5%*0</f>
        <v>0</v>
      </c>
      <c r="G43" s="13">
        <f>ROUND(G$33*F43,2)</f>
        <v>0</v>
      </c>
      <c r="H43" s="10"/>
    </row>
    <row r="44" spans="1:8" x14ac:dyDescent="0.2">
      <c r="A44" s="73" t="s">
        <v>36</v>
      </c>
      <c r="B44" s="377" t="s">
        <v>50</v>
      </c>
      <c r="C44" s="378"/>
      <c r="D44" s="378"/>
      <c r="E44" s="379"/>
      <c r="F44" s="74">
        <f>3%*0</f>
        <v>0</v>
      </c>
      <c r="G44" s="13">
        <f>ROUND(G$33*F44,2)</f>
        <v>0</v>
      </c>
      <c r="H44" s="10"/>
    </row>
    <row r="45" spans="1:8" x14ac:dyDescent="0.2">
      <c r="A45" s="73" t="s">
        <v>37</v>
      </c>
      <c r="B45" s="377" t="s">
        <v>51</v>
      </c>
      <c r="C45" s="378"/>
      <c r="D45" s="378"/>
      <c r="E45" s="379"/>
      <c r="F45" s="74">
        <f>1.5%*0</f>
        <v>0</v>
      </c>
      <c r="G45" s="13">
        <f t="shared" ref="G45:G49" si="0">ROUND(G$33*F45,2)</f>
        <v>0</v>
      </c>
      <c r="H45" s="10"/>
    </row>
    <row r="46" spans="1:8" x14ac:dyDescent="0.2">
      <c r="A46" s="73" t="s">
        <v>38</v>
      </c>
      <c r="B46" s="377" t="s">
        <v>52</v>
      </c>
      <c r="C46" s="378"/>
      <c r="D46" s="378"/>
      <c r="E46" s="379"/>
      <c r="F46" s="74">
        <f>1%*0</f>
        <v>0</v>
      </c>
      <c r="G46" s="13">
        <f>ROUND(G$33*F46,2)</f>
        <v>0</v>
      </c>
      <c r="H46" s="10"/>
    </row>
    <row r="47" spans="1:8" x14ac:dyDescent="0.2">
      <c r="A47" s="73" t="s">
        <v>40</v>
      </c>
      <c r="B47" s="377" t="s">
        <v>53</v>
      </c>
      <c r="C47" s="378"/>
      <c r="D47" s="378"/>
      <c r="E47" s="379"/>
      <c r="F47" s="74">
        <f>0.6%*0</f>
        <v>0</v>
      </c>
      <c r="G47" s="13">
        <f t="shared" si="0"/>
        <v>0</v>
      </c>
      <c r="H47" s="10"/>
    </row>
    <row r="48" spans="1:8" x14ac:dyDescent="0.2">
      <c r="A48" s="73" t="s">
        <v>54</v>
      </c>
      <c r="B48" s="377" t="s">
        <v>55</v>
      </c>
      <c r="C48" s="378"/>
      <c r="D48" s="378"/>
      <c r="E48" s="379"/>
      <c r="F48" s="74">
        <f>0.2%*0</f>
        <v>0</v>
      </c>
      <c r="G48" s="13">
        <f t="shared" si="0"/>
        <v>0</v>
      </c>
      <c r="H48" s="10"/>
    </row>
    <row r="49" spans="1:8" x14ac:dyDescent="0.2">
      <c r="A49" s="75" t="s">
        <v>56</v>
      </c>
      <c r="B49" s="380" t="s">
        <v>57</v>
      </c>
      <c r="C49" s="381"/>
      <c r="D49" s="381"/>
      <c r="E49" s="382"/>
      <c r="F49" s="76">
        <f>8%*0</f>
        <v>0</v>
      </c>
      <c r="G49" s="16">
        <f t="shared" si="0"/>
        <v>0</v>
      </c>
      <c r="H49" s="10"/>
    </row>
    <row r="50" spans="1:8" x14ac:dyDescent="0.2">
      <c r="A50" s="418" t="s">
        <v>58</v>
      </c>
      <c r="B50" s="419"/>
      <c r="C50" s="419"/>
      <c r="D50" s="419"/>
      <c r="E50" s="420"/>
      <c r="F50" s="83">
        <f>SUM(F42:F49)</f>
        <v>0</v>
      </c>
      <c r="G50" s="84">
        <f>SUM(G42:G49)</f>
        <v>0</v>
      </c>
      <c r="H50" s="10">
        <f>ROUND(G33*F50,2)</f>
        <v>0</v>
      </c>
    </row>
    <row r="51" spans="1:8" x14ac:dyDescent="0.2">
      <c r="A51" s="421" t="s">
        <v>59</v>
      </c>
      <c r="B51" s="422"/>
      <c r="C51" s="422"/>
      <c r="D51" s="422"/>
      <c r="E51" s="422"/>
      <c r="F51" s="422"/>
      <c r="G51" s="423"/>
      <c r="H51" s="10"/>
    </row>
    <row r="52" spans="1:8" x14ac:dyDescent="0.2">
      <c r="A52" s="20" t="s">
        <v>34</v>
      </c>
      <c r="B52" s="430" t="s">
        <v>60</v>
      </c>
      <c r="C52" s="431"/>
      <c r="D52" s="431"/>
      <c r="E52" s="22">
        <v>0</v>
      </c>
      <c r="F52" s="23">
        <f>15.22*2</f>
        <v>30.44</v>
      </c>
      <c r="G52" s="24">
        <f>IF(ROUND((E52*F52)-(G27*0.06),2)&lt;0,0,ROUND((E52*F52)-(G27*0.06),2))</f>
        <v>0</v>
      </c>
      <c r="H52" s="10"/>
    </row>
    <row r="53" spans="1:8" x14ac:dyDescent="0.2">
      <c r="A53" s="11" t="s">
        <v>61</v>
      </c>
      <c r="B53" s="432" t="s">
        <v>62</v>
      </c>
      <c r="C53" s="433"/>
      <c r="D53" s="433"/>
      <c r="E53" s="25">
        <f>(ROUND(37*0.82,2))*0</f>
        <v>0</v>
      </c>
      <c r="F53" s="26">
        <f>15.22</f>
        <v>15.22</v>
      </c>
      <c r="G53" s="7">
        <f t="shared" ref="G53:G60" si="1">ROUND((E53*F53),2)</f>
        <v>0</v>
      </c>
      <c r="H53" s="10"/>
    </row>
    <row r="54" spans="1:8" x14ac:dyDescent="0.2">
      <c r="A54" s="11" t="s">
        <v>63</v>
      </c>
      <c r="B54" s="432" t="s">
        <v>64</v>
      </c>
      <c r="C54" s="433"/>
      <c r="D54" s="433"/>
      <c r="E54" s="25">
        <f>(ROUND(187.97*0.95,2))*0</f>
        <v>0</v>
      </c>
      <c r="F54" s="26">
        <v>1</v>
      </c>
      <c r="G54" s="7">
        <f t="shared" si="1"/>
        <v>0</v>
      </c>
      <c r="H54" s="10"/>
    </row>
    <row r="55" spans="1:8" x14ac:dyDescent="0.2">
      <c r="A55" s="11" t="s">
        <v>36</v>
      </c>
      <c r="B55" s="432" t="s">
        <v>211</v>
      </c>
      <c r="C55" s="433"/>
      <c r="D55" s="433"/>
      <c r="E55" s="25">
        <f>(ROUND(187.97*0.95,2))*0</f>
        <v>0</v>
      </c>
      <c r="F55" s="26">
        <v>1</v>
      </c>
      <c r="G55" s="7">
        <f t="shared" si="1"/>
        <v>0</v>
      </c>
      <c r="H55" s="10"/>
    </row>
    <row r="56" spans="1:8" x14ac:dyDescent="0.2">
      <c r="A56" s="11" t="s">
        <v>37</v>
      </c>
      <c r="B56" s="432" t="s">
        <v>212</v>
      </c>
      <c r="C56" s="433"/>
      <c r="D56" s="433"/>
      <c r="E56" s="25">
        <f>SUM((F18*1.5)*0.0085%)</f>
        <v>0</v>
      </c>
      <c r="F56" s="26">
        <v>1</v>
      </c>
      <c r="G56" s="7">
        <f t="shared" si="1"/>
        <v>0</v>
      </c>
      <c r="H56" s="10"/>
    </row>
    <row r="57" spans="1:8" x14ac:dyDescent="0.2">
      <c r="A57" s="11" t="s">
        <v>38</v>
      </c>
      <c r="B57" s="432" t="s">
        <v>213</v>
      </c>
      <c r="C57" s="433"/>
      <c r="D57" s="433"/>
      <c r="E57" s="25">
        <f>ROUND((ROUND((F18*26)+(F18*52),2))*0.0085%,2)</f>
        <v>0</v>
      </c>
      <c r="F57" s="26">
        <v>1</v>
      </c>
      <c r="G57" s="7">
        <f t="shared" si="1"/>
        <v>0</v>
      </c>
      <c r="H57" s="10"/>
    </row>
    <row r="58" spans="1:8" x14ac:dyDescent="0.2">
      <c r="A58" s="11" t="s">
        <v>40</v>
      </c>
      <c r="B58" s="432" t="s">
        <v>136</v>
      </c>
      <c r="C58" s="433"/>
      <c r="D58" s="433"/>
      <c r="E58" s="25">
        <v>0</v>
      </c>
      <c r="F58" s="26">
        <v>1</v>
      </c>
      <c r="G58" s="7">
        <f t="shared" si="1"/>
        <v>0</v>
      </c>
      <c r="H58" s="10"/>
    </row>
    <row r="59" spans="1:8" x14ac:dyDescent="0.2">
      <c r="A59" s="11" t="s">
        <v>54</v>
      </c>
      <c r="B59" s="432" t="s">
        <v>136</v>
      </c>
      <c r="C59" s="433"/>
      <c r="D59" s="433"/>
      <c r="E59" s="92">
        <v>0</v>
      </c>
      <c r="F59" s="26">
        <v>1</v>
      </c>
      <c r="G59" s="7">
        <f t="shared" si="1"/>
        <v>0</v>
      </c>
      <c r="H59" s="10"/>
    </row>
    <row r="60" spans="1:8" x14ac:dyDescent="0.2">
      <c r="A60" s="11" t="s">
        <v>56</v>
      </c>
      <c r="B60" s="432" t="s">
        <v>136</v>
      </c>
      <c r="C60" s="433"/>
      <c r="D60" s="433"/>
      <c r="E60" s="92"/>
      <c r="F60" s="26">
        <v>1</v>
      </c>
      <c r="G60" s="7">
        <f t="shared" si="1"/>
        <v>0</v>
      </c>
      <c r="H60" s="10"/>
    </row>
    <row r="61" spans="1:8" x14ac:dyDescent="0.2">
      <c r="A61" s="439" t="s">
        <v>66</v>
      </c>
      <c r="B61" s="440"/>
      <c r="C61" s="440"/>
      <c r="D61" s="440"/>
      <c r="E61" s="440"/>
      <c r="F61" s="428"/>
      <c r="G61" s="9">
        <f>SUM(G52:G60)</f>
        <v>0</v>
      </c>
      <c r="H61" s="10"/>
    </row>
    <row r="62" spans="1:8" x14ac:dyDescent="0.2">
      <c r="A62" s="401" t="s">
        <v>67</v>
      </c>
      <c r="B62" s="402"/>
      <c r="C62" s="402"/>
      <c r="D62" s="402"/>
      <c r="E62" s="402"/>
      <c r="F62" s="403"/>
      <c r="G62" s="404"/>
      <c r="H62" s="10"/>
    </row>
    <row r="63" spans="1:8" x14ac:dyDescent="0.2">
      <c r="A63" s="27" t="s">
        <v>68</v>
      </c>
      <c r="B63" s="434" t="s">
        <v>69</v>
      </c>
      <c r="C63" s="435"/>
      <c r="D63" s="435"/>
      <c r="E63" s="435"/>
      <c r="F63" s="28">
        <f>F40</f>
        <v>0</v>
      </c>
      <c r="G63" s="29">
        <f>G40</f>
        <v>0</v>
      </c>
      <c r="H63" s="10"/>
    </row>
    <row r="64" spans="1:8" x14ac:dyDescent="0.2">
      <c r="A64" s="30" t="s">
        <v>70</v>
      </c>
      <c r="B64" s="436" t="s">
        <v>137</v>
      </c>
      <c r="C64" s="437"/>
      <c r="D64" s="437"/>
      <c r="E64" s="437"/>
      <c r="F64" s="31">
        <f>F50</f>
        <v>0</v>
      </c>
      <c r="G64" s="32">
        <f>G50</f>
        <v>0</v>
      </c>
      <c r="H64" s="10"/>
    </row>
    <row r="65" spans="1:8" x14ac:dyDescent="0.2">
      <c r="A65" s="30" t="s">
        <v>71</v>
      </c>
      <c r="B65" s="436" t="s">
        <v>72</v>
      </c>
      <c r="C65" s="437"/>
      <c r="D65" s="437"/>
      <c r="E65" s="437"/>
      <c r="F65" s="438"/>
      <c r="G65" s="32">
        <f>G61</f>
        <v>0</v>
      </c>
      <c r="H65" s="10"/>
    </row>
    <row r="66" spans="1:8" x14ac:dyDescent="0.2">
      <c r="A66" s="439" t="s">
        <v>73</v>
      </c>
      <c r="B66" s="440"/>
      <c r="C66" s="440"/>
      <c r="D66" s="440"/>
      <c r="E66" s="440"/>
      <c r="F66" s="428"/>
      <c r="G66" s="9">
        <f>SUM(G63:G65)</f>
        <v>0</v>
      </c>
      <c r="H66" s="10"/>
    </row>
    <row r="67" spans="1:8" x14ac:dyDescent="0.2">
      <c r="A67" s="401" t="s">
        <v>74</v>
      </c>
      <c r="B67" s="402"/>
      <c r="C67" s="402"/>
      <c r="D67" s="402"/>
      <c r="E67" s="402"/>
      <c r="F67" s="403"/>
      <c r="G67" s="404"/>
      <c r="H67" s="10"/>
    </row>
    <row r="68" spans="1:8" s="35" customFormat="1" x14ac:dyDescent="0.2">
      <c r="A68" s="4">
        <v>3</v>
      </c>
      <c r="B68" s="33" t="s">
        <v>75</v>
      </c>
      <c r="C68" s="33"/>
      <c r="D68" s="33"/>
      <c r="E68" s="33"/>
      <c r="F68" s="33"/>
      <c r="G68" s="34"/>
      <c r="H68" s="10"/>
    </row>
    <row r="69" spans="1:8" x14ac:dyDescent="0.2">
      <c r="A69" s="20" t="s">
        <v>34</v>
      </c>
      <c r="B69" s="444" t="s">
        <v>76</v>
      </c>
      <c r="C69" s="445"/>
      <c r="D69" s="445"/>
      <c r="E69" s="445"/>
      <c r="F69" s="93">
        <f>ROUND((1/12)*0.05,4)*0</f>
        <v>0</v>
      </c>
      <c r="G69" s="36">
        <f t="shared" ref="G69:G74" si="2">ROUND(G$33*F69,2)</f>
        <v>0</v>
      </c>
      <c r="H69" s="10"/>
    </row>
    <row r="70" spans="1:8" x14ac:dyDescent="0.2">
      <c r="A70" s="11" t="s">
        <v>35</v>
      </c>
      <c r="B70" s="446" t="s">
        <v>77</v>
      </c>
      <c r="C70" s="447"/>
      <c r="D70" s="447"/>
      <c r="E70" s="447"/>
      <c r="F70" s="94">
        <f>ROUND((F69*F49),4)</f>
        <v>0</v>
      </c>
      <c r="G70" s="37">
        <f t="shared" si="2"/>
        <v>0</v>
      </c>
      <c r="H70" s="10"/>
    </row>
    <row r="71" spans="1:8" x14ac:dyDescent="0.2">
      <c r="A71" s="11" t="s">
        <v>36</v>
      </c>
      <c r="B71" s="446" t="s">
        <v>231</v>
      </c>
      <c r="C71" s="447"/>
      <c r="D71" s="447"/>
      <c r="E71" s="447"/>
      <c r="F71" s="94">
        <f>ROUND((0.08*0.4*0.9)*(1+0.09+0.09+0.3),2)*0</f>
        <v>0</v>
      </c>
      <c r="G71" s="37">
        <f t="shared" si="2"/>
        <v>0</v>
      </c>
      <c r="H71" s="10"/>
    </row>
    <row r="72" spans="1:8" x14ac:dyDescent="0.2">
      <c r="A72" s="11" t="s">
        <v>37</v>
      </c>
      <c r="B72" s="446" t="s">
        <v>78</v>
      </c>
      <c r="C72" s="447"/>
      <c r="D72" s="447"/>
      <c r="E72" s="447"/>
      <c r="F72" s="94">
        <f>ROUND(100%/30*7/12*100%,4)*0</f>
        <v>0</v>
      </c>
      <c r="G72" s="37">
        <f t="shared" si="2"/>
        <v>0</v>
      </c>
      <c r="H72" s="10"/>
    </row>
    <row r="73" spans="1:8" s="3" customFormat="1" x14ac:dyDescent="0.2">
      <c r="A73" s="11" t="s">
        <v>38</v>
      </c>
      <c r="B73" s="446" t="s">
        <v>127</v>
      </c>
      <c r="C73" s="447"/>
      <c r="D73" s="447"/>
      <c r="E73" s="447"/>
      <c r="F73" s="94">
        <f>ROUND(F72*F50,4)</f>
        <v>0</v>
      </c>
      <c r="G73" s="37">
        <f t="shared" si="2"/>
        <v>0</v>
      </c>
      <c r="H73" s="10"/>
    </row>
    <row r="74" spans="1:8" x14ac:dyDescent="0.2">
      <c r="A74" s="11" t="s">
        <v>40</v>
      </c>
      <c r="B74" s="441" t="s">
        <v>232</v>
      </c>
      <c r="C74" s="442"/>
      <c r="D74" s="442"/>
      <c r="E74" s="442"/>
      <c r="F74" s="95">
        <v>0</v>
      </c>
      <c r="G74" s="38">
        <f t="shared" si="2"/>
        <v>0</v>
      </c>
      <c r="H74" s="10"/>
    </row>
    <row r="75" spans="1:8" x14ac:dyDescent="0.2">
      <c r="A75" s="439" t="s">
        <v>79</v>
      </c>
      <c r="B75" s="440"/>
      <c r="C75" s="440"/>
      <c r="D75" s="440"/>
      <c r="E75" s="440"/>
      <c r="F75" s="39">
        <f>SUM(F69:F74)</f>
        <v>0</v>
      </c>
      <c r="G75" s="40">
        <f>SUM(G69:G74)</f>
        <v>0</v>
      </c>
      <c r="H75" s="10">
        <f>ROUND(G33*F75,2)</f>
        <v>0</v>
      </c>
    </row>
    <row r="76" spans="1:8" x14ac:dyDescent="0.2">
      <c r="A76" s="401" t="s">
        <v>80</v>
      </c>
      <c r="B76" s="402"/>
      <c r="C76" s="402"/>
      <c r="D76" s="402"/>
      <c r="E76" s="402"/>
      <c r="F76" s="403"/>
      <c r="G76" s="404"/>
      <c r="H76" s="10"/>
    </row>
    <row r="77" spans="1:8" s="35" customFormat="1" x14ac:dyDescent="0.2">
      <c r="A77" s="421" t="s">
        <v>128</v>
      </c>
      <c r="B77" s="422"/>
      <c r="C77" s="422"/>
      <c r="D77" s="422"/>
      <c r="E77" s="422"/>
      <c r="F77" s="422"/>
      <c r="G77" s="423"/>
      <c r="H77" s="10"/>
    </row>
    <row r="78" spans="1:8" x14ac:dyDescent="0.2">
      <c r="A78" s="85" t="s">
        <v>34</v>
      </c>
      <c r="B78" s="443" t="s">
        <v>225</v>
      </c>
      <c r="C78" s="425"/>
      <c r="D78" s="425"/>
      <c r="E78" s="425"/>
      <c r="F78" s="86">
        <v>0</v>
      </c>
      <c r="G78" s="36">
        <f t="shared" ref="G78:G83" si="3">ROUND(G$33*F78,2)</f>
        <v>0</v>
      </c>
      <c r="H78" s="10"/>
    </row>
    <row r="79" spans="1:8" x14ac:dyDescent="0.2">
      <c r="A79" s="73" t="s">
        <v>35</v>
      </c>
      <c r="B79" s="377" t="s">
        <v>129</v>
      </c>
      <c r="C79" s="378"/>
      <c r="D79" s="378"/>
      <c r="E79" s="378"/>
      <c r="F79" s="74">
        <f>ROUND(((1/30)/12)*1,4)*0</f>
        <v>0</v>
      </c>
      <c r="G79" s="37">
        <f t="shared" si="3"/>
        <v>0</v>
      </c>
      <c r="H79" s="10"/>
    </row>
    <row r="80" spans="1:8" x14ac:dyDescent="0.2">
      <c r="A80" s="73" t="s">
        <v>36</v>
      </c>
      <c r="B80" s="377" t="s">
        <v>130</v>
      </c>
      <c r="C80" s="378"/>
      <c r="D80" s="378"/>
      <c r="E80" s="378"/>
      <c r="F80" s="74">
        <f>ROUND((((1/30)/12)*5)*0.02,4)*0</f>
        <v>0</v>
      </c>
      <c r="G80" s="37">
        <f t="shared" si="3"/>
        <v>0</v>
      </c>
      <c r="H80" s="10"/>
    </row>
    <row r="81" spans="1:8" x14ac:dyDescent="0.2">
      <c r="A81" s="73" t="s">
        <v>37</v>
      </c>
      <c r="B81" s="377" t="s">
        <v>131</v>
      </c>
      <c r="C81" s="378"/>
      <c r="D81" s="378"/>
      <c r="E81" s="378"/>
      <c r="F81" s="74">
        <f>ROUND((((1/30)/12)*15)*0.05,4)*0</f>
        <v>0</v>
      </c>
      <c r="G81" s="37">
        <f t="shared" si="3"/>
        <v>0</v>
      </c>
      <c r="H81" s="10"/>
    </row>
    <row r="82" spans="1:8" x14ac:dyDescent="0.2">
      <c r="A82" s="73" t="s">
        <v>38</v>
      </c>
      <c r="B82" s="452" t="s">
        <v>226</v>
      </c>
      <c r="C82" s="378"/>
      <c r="D82" s="378"/>
      <c r="E82" s="378"/>
      <c r="F82" s="74">
        <v>0</v>
      </c>
      <c r="G82" s="37">
        <f t="shared" si="3"/>
        <v>0</v>
      </c>
      <c r="H82" s="10"/>
    </row>
    <row r="83" spans="1:8" x14ac:dyDescent="0.2">
      <c r="A83" s="73" t="s">
        <v>40</v>
      </c>
      <c r="B83" s="380" t="s">
        <v>132</v>
      </c>
      <c r="C83" s="381"/>
      <c r="D83" s="381"/>
      <c r="E83" s="381"/>
      <c r="F83" s="76">
        <f>ROUND((((1/30)/12)*5)*0.5,4)*0</f>
        <v>0</v>
      </c>
      <c r="G83" s="38">
        <f t="shared" si="3"/>
        <v>0</v>
      </c>
      <c r="H83" s="10"/>
    </row>
    <row r="84" spans="1:8" x14ac:dyDescent="0.2">
      <c r="A84" s="448" t="s">
        <v>81</v>
      </c>
      <c r="B84" s="420"/>
      <c r="C84" s="420"/>
      <c r="D84" s="420"/>
      <c r="E84" s="420"/>
      <c r="F84" s="83">
        <f>SUM(F78:F83)</f>
        <v>0</v>
      </c>
      <c r="G84" s="84">
        <f>SUM(G78:G83)</f>
        <v>0</v>
      </c>
      <c r="H84" s="10">
        <f>ROUND(G33*F84,2)</f>
        <v>0</v>
      </c>
    </row>
    <row r="85" spans="1:8" s="35" customFormat="1" x14ac:dyDescent="0.2">
      <c r="A85" s="449" t="s">
        <v>82</v>
      </c>
      <c r="B85" s="450"/>
      <c r="C85" s="450"/>
      <c r="D85" s="450"/>
      <c r="E85" s="450"/>
      <c r="F85" s="450"/>
      <c r="G85" s="451"/>
      <c r="H85" s="10"/>
    </row>
    <row r="86" spans="1:8" x14ac:dyDescent="0.2">
      <c r="A86" s="20" t="s">
        <v>34</v>
      </c>
      <c r="B86" s="444" t="s">
        <v>83</v>
      </c>
      <c r="C86" s="445"/>
      <c r="D86" s="445"/>
      <c r="E86" s="445"/>
      <c r="F86" s="93">
        <f xml:space="preserve"> ROUND((((ROUND((1/11)+(1/11)/3, 3))*4)/12)*1%,4)*0</f>
        <v>0</v>
      </c>
      <c r="G86" s="36">
        <f>ROUND(G$33*F86,2)</f>
        <v>0</v>
      </c>
      <c r="H86" s="10"/>
    </row>
    <row r="87" spans="1:8" x14ac:dyDescent="0.2">
      <c r="A87" s="11" t="s">
        <v>35</v>
      </c>
      <c r="B87" s="446" t="s">
        <v>84</v>
      </c>
      <c r="C87" s="447"/>
      <c r="D87" s="447"/>
      <c r="E87" s="447"/>
      <c r="F87" s="94">
        <f>ROUND(F86*F50,4)</f>
        <v>0</v>
      </c>
      <c r="G87" s="37">
        <f>ROUND(G$33*F87,2)</f>
        <v>0</v>
      </c>
      <c r="H87" s="10"/>
    </row>
    <row r="88" spans="1:8" x14ac:dyDescent="0.2">
      <c r="A88" s="11" t="s">
        <v>36</v>
      </c>
      <c r="B88" s="446" t="s">
        <v>85</v>
      </c>
      <c r="C88" s="447"/>
      <c r="D88" s="447"/>
      <c r="E88" s="447"/>
      <c r="F88" s="94">
        <f>ROUND(ROUND(ROUND(((1+1/12)*4)/12,4)*1%,4)*F50,4)</f>
        <v>0</v>
      </c>
      <c r="G88" s="37">
        <f>ROUND(G$33*F88,2)</f>
        <v>0</v>
      </c>
      <c r="H88" s="10"/>
    </row>
    <row r="89" spans="1:8" x14ac:dyDescent="0.2">
      <c r="A89" s="11" t="s">
        <v>37</v>
      </c>
      <c r="B89" s="446" t="s">
        <v>65</v>
      </c>
      <c r="C89" s="447"/>
      <c r="D89" s="447"/>
      <c r="E89" s="447"/>
      <c r="F89" s="94">
        <v>0</v>
      </c>
      <c r="G89" s="38">
        <f>ROUND(G$33*F89,2)</f>
        <v>0</v>
      </c>
      <c r="H89" s="10"/>
    </row>
    <row r="90" spans="1:8" x14ac:dyDescent="0.2">
      <c r="A90" s="427" t="s">
        <v>86</v>
      </c>
      <c r="B90" s="428"/>
      <c r="C90" s="428"/>
      <c r="D90" s="428"/>
      <c r="E90" s="428"/>
      <c r="F90" s="18">
        <f>SUM(F86:F89)</f>
        <v>0</v>
      </c>
      <c r="G90" s="19">
        <f>SUM(G86:G89)</f>
        <v>0</v>
      </c>
      <c r="H90" s="10">
        <f>ROUND(G33*F90,2)</f>
        <v>0</v>
      </c>
    </row>
    <row r="91" spans="1:8" s="35" customFormat="1" x14ac:dyDescent="0.2">
      <c r="A91" s="459" t="s">
        <v>87</v>
      </c>
      <c r="B91" s="460"/>
      <c r="C91" s="460"/>
      <c r="D91" s="460"/>
      <c r="E91" s="460"/>
      <c r="F91" s="460"/>
      <c r="G91" s="461"/>
      <c r="H91" s="10"/>
    </row>
    <row r="92" spans="1:8" x14ac:dyDescent="0.2">
      <c r="A92" s="211" t="s">
        <v>34</v>
      </c>
      <c r="B92" s="462" t="s">
        <v>88</v>
      </c>
      <c r="C92" s="463"/>
      <c r="D92" s="463"/>
      <c r="E92" s="463"/>
      <c r="F92" s="238">
        <f>((1/220)*22)*0</f>
        <v>0</v>
      </c>
      <c r="G92" s="36">
        <f>ROUND(G$34*F92,2)</f>
        <v>0</v>
      </c>
      <c r="H92" s="10"/>
    </row>
    <row r="93" spans="1:8" x14ac:dyDescent="0.2">
      <c r="A93" s="211" t="s">
        <v>35</v>
      </c>
      <c r="B93" s="466" t="s">
        <v>227</v>
      </c>
      <c r="C93" s="467"/>
      <c r="D93" s="467"/>
      <c r="E93" s="468"/>
      <c r="F93" s="238">
        <f>((1/220)*22)*0</f>
        <v>0</v>
      </c>
      <c r="G93" s="36">
        <f>ROUND(G$34*F93,2)</f>
        <v>0</v>
      </c>
      <c r="H93" s="10"/>
    </row>
    <row r="94" spans="1:8" x14ac:dyDescent="0.2">
      <c r="A94" s="427" t="s">
        <v>89</v>
      </c>
      <c r="B94" s="428"/>
      <c r="C94" s="428"/>
      <c r="D94" s="428"/>
      <c r="E94" s="428"/>
      <c r="F94" s="18">
        <f>SUM(F92:F92)</f>
        <v>0</v>
      </c>
      <c r="G94" s="19">
        <f>SUM(G92:G93)</f>
        <v>0</v>
      </c>
      <c r="H94" s="10">
        <f>ROUND(G33*F94,2)</f>
        <v>0</v>
      </c>
    </row>
    <row r="95" spans="1:8" s="89" customFormat="1" x14ac:dyDescent="0.2">
      <c r="A95" s="453" t="s">
        <v>133</v>
      </c>
      <c r="B95" s="454"/>
      <c r="C95" s="454"/>
      <c r="D95" s="454"/>
      <c r="E95" s="454"/>
      <c r="F95" s="454"/>
      <c r="G95" s="455"/>
      <c r="H95" s="72"/>
    </row>
    <row r="96" spans="1:8" s="68" customFormat="1" x14ac:dyDescent="0.2">
      <c r="A96" s="212" t="s">
        <v>34</v>
      </c>
      <c r="B96" s="443" t="s">
        <v>134</v>
      </c>
      <c r="C96" s="471"/>
      <c r="D96" s="471"/>
      <c r="E96" s="471"/>
      <c r="F96" s="238">
        <f>((((8*13)/12)/220)+((((8*13)/12)/220)*100%))*0</f>
        <v>0</v>
      </c>
      <c r="G96" s="36">
        <f>ROUND(G$34*F96,2)</f>
        <v>0</v>
      </c>
      <c r="H96" s="72"/>
    </row>
    <row r="97" spans="1:8" s="68" customFormat="1" x14ac:dyDescent="0.2">
      <c r="A97" s="211" t="s">
        <v>35</v>
      </c>
      <c r="B97" s="466" t="s">
        <v>227</v>
      </c>
      <c r="C97" s="467"/>
      <c r="D97" s="467"/>
      <c r="E97" s="468"/>
      <c r="F97" s="239">
        <f>F96*F49</f>
        <v>0</v>
      </c>
      <c r="G97" s="36">
        <f>ROUND(G$34*F97,2)</f>
        <v>0</v>
      </c>
      <c r="H97" s="72"/>
    </row>
    <row r="98" spans="1:8" s="68" customFormat="1" x14ac:dyDescent="0.2">
      <c r="A98" s="448" t="s">
        <v>135</v>
      </c>
      <c r="B98" s="420"/>
      <c r="C98" s="420"/>
      <c r="D98" s="420"/>
      <c r="E98" s="420"/>
      <c r="F98" s="83">
        <f>SUM(F96:F97)</f>
        <v>0</v>
      </c>
      <c r="G98" s="84">
        <f>SUM(G96:G97)</f>
        <v>0</v>
      </c>
      <c r="H98" s="72">
        <f>ROUND(G43*F98,2)</f>
        <v>0</v>
      </c>
    </row>
    <row r="99" spans="1:8" x14ac:dyDescent="0.2">
      <c r="A99" s="401" t="s">
        <v>90</v>
      </c>
      <c r="B99" s="402"/>
      <c r="C99" s="402"/>
      <c r="D99" s="402"/>
      <c r="E99" s="402"/>
      <c r="F99" s="403"/>
      <c r="G99" s="404"/>
      <c r="H99" s="10"/>
    </row>
    <row r="100" spans="1:8" x14ac:dyDescent="0.2">
      <c r="A100" s="27" t="s">
        <v>91</v>
      </c>
      <c r="B100" s="434" t="s">
        <v>138</v>
      </c>
      <c r="C100" s="435"/>
      <c r="D100" s="435"/>
      <c r="E100" s="435"/>
      <c r="F100" s="28">
        <f>F84</f>
        <v>0</v>
      </c>
      <c r="G100" s="29">
        <f>G84</f>
        <v>0</v>
      </c>
      <c r="H100" s="10"/>
    </row>
    <row r="101" spans="1:8" x14ac:dyDescent="0.2">
      <c r="A101" s="30" t="s">
        <v>92</v>
      </c>
      <c r="B101" s="436" t="s">
        <v>93</v>
      </c>
      <c r="C101" s="437"/>
      <c r="D101" s="437"/>
      <c r="E101" s="437"/>
      <c r="F101" s="31">
        <f>F90</f>
        <v>0</v>
      </c>
      <c r="G101" s="32">
        <f>G90</f>
        <v>0</v>
      </c>
      <c r="H101" s="10"/>
    </row>
    <row r="102" spans="1:8" x14ac:dyDescent="0.2">
      <c r="A102" s="30" t="s">
        <v>94</v>
      </c>
      <c r="B102" s="436" t="s">
        <v>95</v>
      </c>
      <c r="C102" s="437"/>
      <c r="D102" s="437"/>
      <c r="E102" s="437"/>
      <c r="F102" s="31">
        <f>F94</f>
        <v>0</v>
      </c>
      <c r="G102" s="32">
        <f>G94</f>
        <v>0</v>
      </c>
      <c r="H102" s="10"/>
    </row>
    <row r="103" spans="1:8" x14ac:dyDescent="0.2">
      <c r="A103" s="30" t="s">
        <v>140</v>
      </c>
      <c r="B103" s="464" t="s">
        <v>139</v>
      </c>
      <c r="C103" s="465"/>
      <c r="D103" s="465"/>
      <c r="E103" s="465"/>
      <c r="F103" s="31">
        <f>F98</f>
        <v>0</v>
      </c>
      <c r="G103" s="32">
        <f>G98</f>
        <v>0</v>
      </c>
      <c r="H103" s="10"/>
    </row>
    <row r="104" spans="1:8" x14ac:dyDescent="0.2">
      <c r="A104" s="439" t="s">
        <v>96</v>
      </c>
      <c r="B104" s="440"/>
      <c r="C104" s="440"/>
      <c r="D104" s="440"/>
      <c r="E104" s="440"/>
      <c r="F104" s="428"/>
      <c r="G104" s="9">
        <f>SUM(G100:G103)</f>
        <v>0</v>
      </c>
      <c r="H104" s="10"/>
    </row>
    <row r="105" spans="1:8" x14ac:dyDescent="0.2">
      <c r="A105" s="401" t="s">
        <v>97</v>
      </c>
      <c r="B105" s="402"/>
      <c r="C105" s="402"/>
      <c r="D105" s="402"/>
      <c r="E105" s="402"/>
      <c r="F105" s="403"/>
      <c r="G105" s="404"/>
      <c r="H105" s="10"/>
    </row>
    <row r="106" spans="1:8" x14ac:dyDescent="0.2">
      <c r="A106" s="20" t="s">
        <v>34</v>
      </c>
      <c r="B106" s="230" t="str">
        <f>'Insumos Gerais'!A4</f>
        <v>EQUIPAMENTOS COMUNS VIGILANTES</v>
      </c>
      <c r="C106" s="112"/>
      <c r="D106" s="112">
        <v>0</v>
      </c>
      <c r="E106" s="22">
        <f>'Insumos Gerais'!E12</f>
        <v>0</v>
      </c>
      <c r="F106" s="42">
        <v>1</v>
      </c>
      <c r="G106" s="7">
        <f>ROUND(SUM(C106:E106),2)*F106</f>
        <v>0</v>
      </c>
      <c r="H106" s="10"/>
    </row>
    <row r="107" spans="1:8" s="68" customFormat="1" x14ac:dyDescent="0.2">
      <c r="A107" s="73" t="s">
        <v>35</v>
      </c>
      <c r="B107" s="229" t="str">
        <f>'Insumos Gerais'!A13</f>
        <v>EQUIPAMENTOS (USO GERAL)</v>
      </c>
      <c r="C107" s="87"/>
      <c r="D107" s="87"/>
      <c r="E107" s="88">
        <f>'Insumos Gerais'!E27</f>
        <v>0</v>
      </c>
      <c r="F107" s="90">
        <v>1</v>
      </c>
      <c r="G107" s="7">
        <f>ROUND((E107*F107),2)</f>
        <v>0</v>
      </c>
      <c r="H107" s="72"/>
    </row>
    <row r="108" spans="1:8" s="68" customFormat="1" x14ac:dyDescent="0.2">
      <c r="A108" s="73" t="s">
        <v>36</v>
      </c>
      <c r="B108" s="236" t="str">
        <f>'Insumos Gerais'!A28</f>
        <v>EQUIPAMENTOS E EPI'S - POSTOS ARMADOS</v>
      </c>
      <c r="C108" s="237"/>
      <c r="D108" s="237"/>
      <c r="E108" s="88">
        <v>0</v>
      </c>
      <c r="F108" s="91">
        <v>1</v>
      </c>
      <c r="G108" s="7">
        <f t="shared" ref="G108:G112" si="4">ROUND((E108*F108),2)</f>
        <v>0</v>
      </c>
      <c r="H108" s="72"/>
    </row>
    <row r="109" spans="1:8" s="68" customFormat="1" x14ac:dyDescent="0.2">
      <c r="A109" s="20" t="s">
        <v>37</v>
      </c>
      <c r="B109" s="236" t="str">
        <f>'Insumos Gerais'!A38</f>
        <v>EQUIPAMENTOS GERAIS - POSTOS NOTURNOS</v>
      </c>
      <c r="C109" s="237"/>
      <c r="D109" s="237"/>
      <c r="E109" s="88">
        <v>0</v>
      </c>
      <c r="F109" s="91">
        <v>1</v>
      </c>
      <c r="G109" s="7">
        <f t="shared" si="4"/>
        <v>0</v>
      </c>
      <c r="H109" s="72"/>
    </row>
    <row r="110" spans="1:8" s="68" customFormat="1" x14ac:dyDescent="0.2">
      <c r="A110" s="73" t="s">
        <v>38</v>
      </c>
      <c r="B110" s="229" t="str">
        <f>'Insumos Gerais'!A44</f>
        <v>EPI'S E OUTROS ( USO GERAL)</v>
      </c>
      <c r="C110" s="87"/>
      <c r="D110" s="87"/>
      <c r="E110" s="88">
        <f>'Insumos Gerais'!E49</f>
        <v>0</v>
      </c>
      <c r="F110" s="91">
        <v>1</v>
      </c>
      <c r="G110" s="7">
        <f t="shared" si="4"/>
        <v>0</v>
      </c>
      <c r="H110" s="72"/>
    </row>
    <row r="111" spans="1:8" s="68" customFormat="1" x14ac:dyDescent="0.2">
      <c r="A111" s="73" t="s">
        <v>40</v>
      </c>
      <c r="B111" s="229" t="str">
        <f>'Insumos Gerais'!A50</f>
        <v>UNIFORMES (USO GERAL)</v>
      </c>
      <c r="C111" s="87"/>
      <c r="D111" s="87"/>
      <c r="E111" s="88">
        <f>'Insumos Gerais'!E64</f>
        <v>0</v>
      </c>
      <c r="F111" s="91">
        <v>1</v>
      </c>
      <c r="G111" s="7">
        <f t="shared" si="4"/>
        <v>0</v>
      </c>
      <c r="H111" s="72"/>
    </row>
    <row r="112" spans="1:8" s="68" customFormat="1" x14ac:dyDescent="0.2">
      <c r="A112" s="73" t="s">
        <v>54</v>
      </c>
      <c r="B112" s="236" t="str">
        <f>'Insumos Gerais'!A65</f>
        <v>VEÍCULOS E OUTROS</v>
      </c>
      <c r="C112" s="237"/>
      <c r="D112" s="237"/>
      <c r="E112" s="88">
        <v>0</v>
      </c>
      <c r="F112" s="91">
        <v>1</v>
      </c>
      <c r="G112" s="7">
        <f t="shared" si="4"/>
        <v>0</v>
      </c>
      <c r="H112" s="72"/>
    </row>
    <row r="113" spans="1:8" s="68" customFormat="1" x14ac:dyDescent="0.2">
      <c r="A113" s="73" t="s">
        <v>56</v>
      </c>
      <c r="B113" s="229" t="s">
        <v>136</v>
      </c>
      <c r="C113" s="87"/>
      <c r="D113" s="87"/>
      <c r="E113" s="88">
        <v>0</v>
      </c>
      <c r="F113" s="91">
        <v>1</v>
      </c>
      <c r="G113" s="7">
        <f>ROUND((E113*F113)/12,2)</f>
        <v>0</v>
      </c>
      <c r="H113" s="72"/>
    </row>
    <row r="114" spans="1:8" s="68" customFormat="1" x14ac:dyDescent="0.2">
      <c r="A114" s="418" t="s">
        <v>98</v>
      </c>
      <c r="B114" s="419"/>
      <c r="C114" s="419"/>
      <c r="D114" s="419"/>
      <c r="E114" s="419"/>
      <c r="F114" s="420"/>
      <c r="G114" s="9">
        <f>SUM(G106:G113)</f>
        <v>0</v>
      </c>
      <c r="H114" s="72"/>
    </row>
    <row r="115" spans="1:8" x14ac:dyDescent="0.2">
      <c r="A115" s="401" t="s">
        <v>99</v>
      </c>
      <c r="B115" s="402"/>
      <c r="C115" s="402"/>
      <c r="D115" s="402"/>
      <c r="E115" s="402"/>
      <c r="F115" s="403"/>
      <c r="G115" s="404"/>
      <c r="H115" s="10"/>
    </row>
    <row r="116" spans="1:8" s="35" customFormat="1" x14ac:dyDescent="0.2">
      <c r="A116" s="4">
        <v>3</v>
      </c>
      <c r="B116" s="33" t="s">
        <v>100</v>
      </c>
      <c r="C116" s="33"/>
      <c r="D116" s="33"/>
      <c r="E116" s="33"/>
      <c r="F116" s="33"/>
      <c r="G116" s="34"/>
      <c r="H116" s="10"/>
    </row>
    <row r="117" spans="1:8" x14ac:dyDescent="0.2">
      <c r="A117" s="20" t="s">
        <v>34</v>
      </c>
      <c r="B117" s="444" t="s">
        <v>101</v>
      </c>
      <c r="C117" s="445"/>
      <c r="D117" s="445"/>
      <c r="E117" s="445"/>
      <c r="F117" s="93">
        <v>0</v>
      </c>
      <c r="G117" s="21">
        <f>ROUND(G132*F117,2)</f>
        <v>0</v>
      </c>
      <c r="H117" s="10"/>
    </row>
    <row r="118" spans="1:8" x14ac:dyDescent="0.2">
      <c r="A118" s="11" t="s">
        <v>35</v>
      </c>
      <c r="B118" s="446" t="s">
        <v>102</v>
      </c>
      <c r="C118" s="447"/>
      <c r="D118" s="447"/>
      <c r="E118" s="447"/>
      <c r="F118" s="94">
        <v>0</v>
      </c>
      <c r="G118" s="13">
        <f>ROUND(((G132+G117)*F118),2)</f>
        <v>0</v>
      </c>
      <c r="H118" s="10"/>
    </row>
    <row r="119" spans="1:8" x14ac:dyDescent="0.2">
      <c r="A119" s="11" t="s">
        <v>36</v>
      </c>
      <c r="B119" s="474" t="s">
        <v>103</v>
      </c>
      <c r="C119" s="475"/>
      <c r="D119" s="475"/>
      <c r="E119" s="475"/>
      <c r="F119" s="94"/>
      <c r="G119" s="13"/>
      <c r="H119" s="10"/>
    </row>
    <row r="120" spans="1:8" x14ac:dyDescent="0.2">
      <c r="A120" s="11" t="s">
        <v>104</v>
      </c>
      <c r="B120" s="446" t="s">
        <v>105</v>
      </c>
      <c r="C120" s="447"/>
      <c r="D120" s="447"/>
      <c r="E120" s="447"/>
      <c r="F120" s="12">
        <v>0</v>
      </c>
      <c r="G120" s="13">
        <f ca="1">ROUND(G$136*F120,2)</f>
        <v>0</v>
      </c>
      <c r="H120" s="10"/>
    </row>
    <row r="121" spans="1:8" s="3" customFormat="1" x14ac:dyDescent="0.2">
      <c r="A121" s="11" t="s">
        <v>106</v>
      </c>
      <c r="B121" s="446" t="s">
        <v>107</v>
      </c>
      <c r="C121" s="447"/>
      <c r="D121" s="447"/>
      <c r="E121" s="447"/>
      <c r="F121" s="12">
        <v>0</v>
      </c>
      <c r="G121" s="13">
        <f ca="1">ROUND(G$136*F121,2)</f>
        <v>0</v>
      </c>
      <c r="H121" s="10"/>
    </row>
    <row r="122" spans="1:8" x14ac:dyDescent="0.2">
      <c r="A122" s="11" t="s">
        <v>108</v>
      </c>
      <c r="B122" s="446" t="s">
        <v>13</v>
      </c>
      <c r="C122" s="447"/>
      <c r="D122" s="447"/>
      <c r="E122" s="447"/>
      <c r="F122" s="12">
        <v>0.02</v>
      </c>
      <c r="G122" s="13">
        <f ca="1">ROUND(G$136*F122,2)</f>
        <v>0</v>
      </c>
      <c r="H122" s="10"/>
    </row>
    <row r="123" spans="1:8" x14ac:dyDescent="0.2">
      <c r="A123" s="11" t="s">
        <v>228</v>
      </c>
      <c r="B123" s="446" t="s">
        <v>229</v>
      </c>
      <c r="C123" s="447"/>
      <c r="D123" s="447"/>
      <c r="E123" s="447"/>
      <c r="F123" s="12">
        <v>0</v>
      </c>
      <c r="G123" s="13">
        <f ca="1">ROUND(G$136*F123,2)</f>
        <v>0</v>
      </c>
      <c r="H123" s="10"/>
    </row>
    <row r="124" spans="1:8" x14ac:dyDescent="0.2">
      <c r="A124" s="11"/>
      <c r="B124" s="472" t="s">
        <v>109</v>
      </c>
      <c r="C124" s="473"/>
      <c r="D124" s="473"/>
      <c r="E124" s="473"/>
      <c r="F124" s="43">
        <f>SUM(F120:F123)</f>
        <v>0.02</v>
      </c>
      <c r="G124" s="44">
        <f ca="1">SUM(G120:G123)</f>
        <v>0</v>
      </c>
      <c r="H124" s="10">
        <f ca="1">ROUND(G136*F124,2)</f>
        <v>0</v>
      </c>
    </row>
    <row r="125" spans="1:8" x14ac:dyDescent="0.2">
      <c r="A125" s="439" t="s">
        <v>110</v>
      </c>
      <c r="B125" s="440"/>
      <c r="C125" s="440"/>
      <c r="D125" s="440"/>
      <c r="E125" s="440"/>
      <c r="F125" s="39">
        <f>SUM(F117,F118,F124)</f>
        <v>0.02</v>
      </c>
      <c r="G125" s="40">
        <f ca="1">SUM(G117:G123)</f>
        <v>0</v>
      </c>
      <c r="H125" s="10"/>
    </row>
    <row r="126" spans="1:8" x14ac:dyDescent="0.2">
      <c r="A126" s="401" t="s">
        <v>111</v>
      </c>
      <c r="B126" s="402"/>
      <c r="C126" s="402"/>
      <c r="D126" s="402"/>
      <c r="E126" s="402"/>
      <c r="F126" s="403"/>
      <c r="G126" s="404"/>
      <c r="H126" s="10"/>
    </row>
    <row r="127" spans="1:8" x14ac:dyDescent="0.2">
      <c r="A127" s="27" t="s">
        <v>34</v>
      </c>
      <c r="B127" s="434" t="s">
        <v>112</v>
      </c>
      <c r="C127" s="435"/>
      <c r="D127" s="435"/>
      <c r="E127" s="435"/>
      <c r="F127" s="476"/>
      <c r="G127" s="29">
        <f>G33</f>
        <v>0</v>
      </c>
      <c r="H127" s="10"/>
    </row>
    <row r="128" spans="1:8" x14ac:dyDescent="0.2">
      <c r="A128" s="30" t="s">
        <v>35</v>
      </c>
      <c r="B128" s="436" t="s">
        <v>113</v>
      </c>
      <c r="C128" s="437"/>
      <c r="D128" s="437"/>
      <c r="E128" s="437"/>
      <c r="F128" s="438"/>
      <c r="G128" s="32">
        <f>G66</f>
        <v>0</v>
      </c>
      <c r="H128" s="10"/>
    </row>
    <row r="129" spans="1:8" x14ac:dyDescent="0.2">
      <c r="A129" s="30" t="s">
        <v>36</v>
      </c>
      <c r="B129" s="436" t="s">
        <v>114</v>
      </c>
      <c r="C129" s="437"/>
      <c r="D129" s="437"/>
      <c r="E129" s="437"/>
      <c r="F129" s="438"/>
      <c r="G129" s="32">
        <f>G75</f>
        <v>0</v>
      </c>
      <c r="H129" s="10"/>
    </row>
    <row r="130" spans="1:8" x14ac:dyDescent="0.2">
      <c r="A130" s="30" t="s">
        <v>37</v>
      </c>
      <c r="B130" s="436" t="s">
        <v>115</v>
      </c>
      <c r="C130" s="437"/>
      <c r="D130" s="437"/>
      <c r="E130" s="437"/>
      <c r="F130" s="438"/>
      <c r="G130" s="32">
        <f>G104</f>
        <v>0</v>
      </c>
      <c r="H130" s="10"/>
    </row>
    <row r="131" spans="1:8" x14ac:dyDescent="0.2">
      <c r="A131" s="30" t="s">
        <v>38</v>
      </c>
      <c r="B131" s="436" t="s">
        <v>116</v>
      </c>
      <c r="C131" s="437"/>
      <c r="D131" s="437"/>
      <c r="E131" s="437"/>
      <c r="F131" s="438"/>
      <c r="G131" s="32">
        <f>G114</f>
        <v>0</v>
      </c>
      <c r="H131" s="10"/>
    </row>
    <row r="132" spans="1:8" x14ac:dyDescent="0.2">
      <c r="A132" s="30"/>
      <c r="B132" s="477" t="s">
        <v>117</v>
      </c>
      <c r="C132" s="478"/>
      <c r="D132" s="478"/>
      <c r="E132" s="478"/>
      <c r="F132" s="479"/>
      <c r="G132" s="32">
        <f>SUM(G127:G131)</f>
        <v>0</v>
      </c>
      <c r="H132" s="10"/>
    </row>
    <row r="133" spans="1:8" x14ac:dyDescent="0.2">
      <c r="A133" s="30" t="s">
        <v>40</v>
      </c>
      <c r="B133" s="464" t="s">
        <v>118</v>
      </c>
      <c r="C133" s="465"/>
      <c r="D133" s="465"/>
      <c r="E133" s="465"/>
      <c r="F133" s="480"/>
      <c r="G133" s="32">
        <f ca="1">G125</f>
        <v>0</v>
      </c>
      <c r="H133" s="10"/>
    </row>
    <row r="134" spans="1:8" x14ac:dyDescent="0.2">
      <c r="A134" s="439" t="s">
        <v>119</v>
      </c>
      <c r="B134" s="440"/>
      <c r="C134" s="440"/>
      <c r="D134" s="440"/>
      <c r="E134" s="440"/>
      <c r="F134" s="428"/>
      <c r="G134" s="9">
        <f ca="1">SUM(G132:G133)</f>
        <v>0</v>
      </c>
      <c r="H134" s="10">
        <f ca="1">SUM(G127:G133)-G132</f>
        <v>0</v>
      </c>
    </row>
    <row r="135" spans="1:8" x14ac:dyDescent="0.2">
      <c r="A135" s="456" t="s">
        <v>15</v>
      </c>
      <c r="B135" s="457"/>
      <c r="C135" s="457"/>
      <c r="D135" s="457"/>
      <c r="E135" s="457"/>
      <c r="F135" s="457"/>
      <c r="G135" s="458"/>
      <c r="H135" s="10"/>
    </row>
    <row r="136" spans="1:8" x14ac:dyDescent="0.2">
      <c r="A136" s="45"/>
      <c r="B136" s="46" t="s">
        <v>120</v>
      </c>
      <c r="C136" s="46"/>
      <c r="D136" s="46"/>
      <c r="E136" s="46"/>
      <c r="F136" s="47"/>
      <c r="G136" s="48">
        <f ca="1">G134</f>
        <v>0</v>
      </c>
      <c r="H136" s="10"/>
    </row>
    <row r="137" spans="1:8" x14ac:dyDescent="0.2">
      <c r="A137" s="49"/>
      <c r="B137" s="50" t="s">
        <v>121</v>
      </c>
      <c r="C137" s="50"/>
      <c r="D137" s="50"/>
      <c r="E137" s="50"/>
      <c r="F137" s="51">
        <f>F21</f>
        <v>2</v>
      </c>
      <c r="G137" s="52">
        <f ca="1">G136*F137</f>
        <v>0</v>
      </c>
      <c r="H137" s="10"/>
    </row>
    <row r="138" spans="1:8" x14ac:dyDescent="0.2">
      <c r="A138" s="53"/>
      <c r="B138" s="54" t="s">
        <v>122</v>
      </c>
      <c r="C138" s="54"/>
      <c r="D138" s="54"/>
      <c r="E138" s="54"/>
      <c r="F138" s="55"/>
      <c r="G138" s="56">
        <f>F21*F22</f>
        <v>8</v>
      </c>
      <c r="H138" s="10"/>
    </row>
    <row r="139" spans="1:8" s="60" customFormat="1" x14ac:dyDescent="0.2">
      <c r="A139" s="57"/>
      <c r="B139" s="469" t="s">
        <v>4</v>
      </c>
      <c r="C139" s="469"/>
      <c r="D139" s="469"/>
      <c r="E139" s="469"/>
      <c r="F139" s="58">
        <f>F22</f>
        <v>4</v>
      </c>
      <c r="G139" s="59">
        <f ca="1">G137*F139</f>
        <v>0</v>
      </c>
      <c r="H139" s="10"/>
    </row>
    <row r="140" spans="1:8" s="60" customFormat="1" ht="13.5" thickBot="1" x14ac:dyDescent="0.25">
      <c r="A140" s="61"/>
      <c r="B140" s="470" t="s">
        <v>5</v>
      </c>
      <c r="C140" s="470"/>
      <c r="D140" s="470"/>
      <c r="E140" s="470"/>
      <c r="F140" s="62">
        <v>12</v>
      </c>
      <c r="G140" s="63">
        <f ca="1">G139*F140</f>
        <v>0</v>
      </c>
      <c r="H140" s="10"/>
    </row>
    <row r="141" spans="1:8" x14ac:dyDescent="0.2">
      <c r="F141" s="229"/>
    </row>
    <row r="148" spans="7:7" x14ac:dyDescent="0.2">
      <c r="G148" s="64"/>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6" max="6" man="1"/>
  </rowBreaks>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3">
    <pageSetUpPr fitToPage="1"/>
  </sheetPr>
  <dimension ref="A1:M28"/>
  <sheetViews>
    <sheetView view="pageBreakPreview" topLeftCell="A2" zoomScaleNormal="115" zoomScaleSheetLayoutView="100" workbookViewId="0">
      <selection activeCell="L20" sqref="L20"/>
    </sheetView>
  </sheetViews>
  <sheetFormatPr defaultColWidth="11.7109375" defaultRowHeight="16.5" x14ac:dyDescent="0.2"/>
  <cols>
    <col min="1" max="1" width="11.7109375" style="208"/>
    <col min="2" max="2" width="38.28515625" style="65" bestFit="1" customWidth="1"/>
    <col min="3" max="3" width="19.7109375" style="65" customWidth="1"/>
    <col min="4" max="4" width="13.7109375" style="65" customWidth="1"/>
    <col min="5" max="5" width="8.140625" style="65" bestFit="1" customWidth="1"/>
    <col min="6" max="6" width="7.85546875" style="65" bestFit="1" customWidth="1"/>
    <col min="7" max="7" width="7.7109375" style="65" customWidth="1"/>
    <col min="8" max="8" width="12.85546875" style="65" bestFit="1" customWidth="1"/>
    <col min="9" max="9" width="14.42578125" style="65" bestFit="1" customWidth="1"/>
    <col min="10" max="10" width="15.140625" style="65" bestFit="1" customWidth="1"/>
    <col min="11" max="11" width="18" style="65" bestFit="1" customWidth="1"/>
    <col min="12" max="12" width="15" style="65" bestFit="1" customWidth="1"/>
    <col min="13" max="16384" width="11.7109375" style="65"/>
  </cols>
  <sheetData>
    <row r="1" spans="1:12" ht="26.25" customHeight="1" x14ac:dyDescent="0.2">
      <c r="B1" s="484" t="s">
        <v>296</v>
      </c>
      <c r="C1" s="485"/>
      <c r="D1" s="485"/>
      <c r="E1" s="485"/>
      <c r="F1" s="485"/>
      <c r="G1" s="485"/>
      <c r="H1" s="485"/>
      <c r="I1" s="485"/>
      <c r="J1" s="486"/>
    </row>
    <row r="2" spans="1:12" ht="26.25" customHeight="1" thickBot="1" x14ac:dyDescent="0.25">
      <c r="B2" s="487" t="s">
        <v>370</v>
      </c>
      <c r="C2" s="488"/>
      <c r="D2" s="488"/>
      <c r="E2" s="488"/>
      <c r="F2" s="488"/>
      <c r="G2" s="488"/>
      <c r="H2" s="488"/>
      <c r="I2" s="488"/>
      <c r="J2" s="489"/>
    </row>
    <row r="3" spans="1:12" ht="38.25" customHeight="1" thickBot="1" x14ac:dyDescent="0.25">
      <c r="B3" s="490" t="s">
        <v>297</v>
      </c>
      <c r="C3" s="491"/>
      <c r="D3" s="491"/>
      <c r="E3" s="491"/>
      <c r="F3" s="491"/>
      <c r="G3" s="491"/>
      <c r="H3" s="491"/>
      <c r="I3" s="491"/>
      <c r="J3" s="492"/>
    </row>
    <row r="4" spans="1:12" s="66" customFormat="1" ht="25.5" x14ac:dyDescent="0.2">
      <c r="A4" s="66" t="s">
        <v>292</v>
      </c>
      <c r="B4" s="493" t="s">
        <v>14</v>
      </c>
      <c r="C4" s="494"/>
      <c r="D4" s="495"/>
      <c r="E4" s="100" t="s">
        <v>147</v>
      </c>
      <c r="F4" s="233" t="s">
        <v>146</v>
      </c>
      <c r="G4" s="233" t="s">
        <v>145</v>
      </c>
      <c r="H4" s="234" t="s">
        <v>18</v>
      </c>
      <c r="I4" s="233" t="s">
        <v>16</v>
      </c>
      <c r="J4" s="235" t="s">
        <v>17</v>
      </c>
    </row>
    <row r="5" spans="1:12" s="66" customFormat="1" x14ac:dyDescent="0.2">
      <c r="B5" s="502" t="s">
        <v>307</v>
      </c>
      <c r="C5" s="503"/>
      <c r="D5" s="503"/>
      <c r="E5" s="503"/>
      <c r="F5" s="503"/>
      <c r="G5" s="503"/>
      <c r="H5" s="503"/>
      <c r="I5" s="503"/>
      <c r="J5" s="504"/>
    </row>
    <row r="6" spans="1:12" ht="18" customHeight="1" x14ac:dyDescent="0.2">
      <c r="A6" s="208">
        <v>1</v>
      </c>
      <c r="B6" s="96" t="str">
        <f>'G-I - Vigia DIU desarm'!F16</f>
        <v>VIGILANTE DESARMADO</v>
      </c>
      <c r="C6" s="153" t="str">
        <f>'G-I - Vigia DIU desarm'!F20</f>
        <v>12 HORAS DIURNO</v>
      </c>
      <c r="D6" s="153" t="str">
        <f>'G-I - Vigia DIU desarm'!F23</f>
        <v>Escala 12 x 36</v>
      </c>
      <c r="E6" s="154">
        <f>'G-I - Vigia DIU desarm'!F21</f>
        <v>2</v>
      </c>
      <c r="F6" s="154">
        <f>'G-I - Vigia DIU desarm'!F22</f>
        <v>31</v>
      </c>
      <c r="G6" s="154">
        <f>F6*E6</f>
        <v>62</v>
      </c>
      <c r="H6" s="157">
        <f ca="1">'G-I - Vigia DIU desarm'!G137</f>
        <v>0</v>
      </c>
      <c r="I6" s="149">
        <f ca="1">ROUND((H6*F6),2)</f>
        <v>0</v>
      </c>
      <c r="J6" s="150">
        <f ca="1">I6*12</f>
        <v>0</v>
      </c>
      <c r="K6" s="67"/>
      <c r="L6" s="67"/>
    </row>
    <row r="7" spans="1:12" ht="18" customHeight="1" x14ac:dyDescent="0.2">
      <c r="A7" s="208">
        <v>2</v>
      </c>
      <c r="B7" s="96" t="str">
        <f>'G-I - Vigia DIU Arm BICICLETA'!F16</f>
        <v>VIGILANTE ARM - BICICLETA</v>
      </c>
      <c r="C7" s="153" t="str">
        <f>'G-I - Vigia DIU Arm BICICLETA'!F20</f>
        <v>12 HORAS DIURNO</v>
      </c>
      <c r="D7" s="153" t="str">
        <f>'G-I - Vigia DIU Arm BICICLETA'!F23</f>
        <v>Escala 12 x 36</v>
      </c>
      <c r="E7" s="154">
        <f>'G-I - Vigia DIU Arm BICICLETA'!F21</f>
        <v>2</v>
      </c>
      <c r="F7" s="154">
        <f>'G-I - Vigia DIU Arm BICICLETA'!F22</f>
        <v>2</v>
      </c>
      <c r="G7" s="154">
        <f>F7*E7</f>
        <v>4</v>
      </c>
      <c r="H7" s="157">
        <f ca="1">'G-I - Vigia DIU Arm BICICLETA'!G137</f>
        <v>0</v>
      </c>
      <c r="I7" s="149">
        <f t="shared" ref="I7:I11" ca="1" si="0">ROUND((H7*F7),2)</f>
        <v>0</v>
      </c>
      <c r="J7" s="150">
        <f t="shared" ref="J7:J11" ca="1" si="1">I7*12</f>
        <v>0</v>
      </c>
      <c r="K7" s="67"/>
      <c r="L7" s="67"/>
    </row>
    <row r="8" spans="1:12" ht="18" customHeight="1" x14ac:dyDescent="0.2">
      <c r="A8" s="208">
        <v>3</v>
      </c>
      <c r="B8" s="96" t="str">
        <f>'G-I - Vigia DIU arm-cond MOTO'!F16</f>
        <v>VIGILANTE ARM - Condutor MOTO</v>
      </c>
      <c r="C8" s="153" t="str">
        <f>'G-I - Vigia DIU arm-cond MOTO'!F20</f>
        <v>12 HORAS DIURNO</v>
      </c>
      <c r="D8" s="153" t="str">
        <f>'G-I - Vigia DIU arm-cond MOTO'!F23</f>
        <v>Escala 12 x 36</v>
      </c>
      <c r="E8" s="154">
        <f>'G-I - Vigia DIU arm-cond MOTO'!F21</f>
        <v>2</v>
      </c>
      <c r="F8" s="154">
        <f>'G-I - Vigia DIU arm-cond MOTO'!F22</f>
        <v>14</v>
      </c>
      <c r="G8" s="154">
        <f>F8*E8</f>
        <v>28</v>
      </c>
      <c r="H8" s="157">
        <f ca="1">'G-I - Vigia DIU arm-cond MOTO'!G137</f>
        <v>0</v>
      </c>
      <c r="I8" s="149">
        <f ca="1">ROUND((H8*F8),2)</f>
        <v>0</v>
      </c>
      <c r="J8" s="150">
        <f ca="1">I8*12</f>
        <v>0</v>
      </c>
      <c r="K8" s="67"/>
      <c r="L8" s="67"/>
    </row>
    <row r="9" spans="1:12" ht="18" customHeight="1" x14ac:dyDescent="0.2">
      <c r="A9" s="208">
        <v>4</v>
      </c>
      <c r="B9" s="96" t="str">
        <f>'G-I - Vigia DIU arm-cond CARRO'!F16</f>
        <v>VIGILANTE ARM - Condutor CARRO</v>
      </c>
      <c r="C9" s="153" t="str">
        <f>'G-I - Vigia DIU arm-cond CARRO'!F20</f>
        <v>12 HORAS DIURNO</v>
      </c>
      <c r="D9" s="153" t="str">
        <f>'G-I - Vigia DIU arm-cond CARRO'!F23</f>
        <v>Escala 12 x 36</v>
      </c>
      <c r="E9" s="154">
        <f>'G-I - Vigia DIU arm-cond CARRO'!F21</f>
        <v>2</v>
      </c>
      <c r="F9" s="154">
        <f>'G-I - Vigia DIU arm-cond CARRO'!F22</f>
        <v>3</v>
      </c>
      <c r="G9" s="154">
        <f>F9*E9</f>
        <v>6</v>
      </c>
      <c r="H9" s="157">
        <f ca="1">'G-I - Vigia DIU arm-cond CARRO'!G137</f>
        <v>0</v>
      </c>
      <c r="I9" s="149">
        <f ca="1">ROUND((H9*F9),2)</f>
        <v>0</v>
      </c>
      <c r="J9" s="150">
        <f ca="1">I9*12</f>
        <v>0</v>
      </c>
      <c r="K9" s="67"/>
      <c r="L9" s="67"/>
    </row>
    <row r="10" spans="1:12" ht="18" customHeight="1" x14ac:dyDescent="0.2">
      <c r="A10" s="208">
        <v>5</v>
      </c>
      <c r="B10" s="96" t="str">
        <f>'G-I - Vigia DIU arm'!F16</f>
        <v>VIGILANTE ARMADO</v>
      </c>
      <c r="C10" s="153" t="str">
        <f>'G-I - Vigia DIU arm'!F20</f>
        <v>12 HORAS DIURNO</v>
      </c>
      <c r="D10" s="153" t="str">
        <f>'G-I - Vigia DIU arm'!F23</f>
        <v>Escala 12 x 36</v>
      </c>
      <c r="E10" s="154">
        <f>'G-I - Vigia DIU arm'!F21</f>
        <v>2</v>
      </c>
      <c r="F10" s="154">
        <f>'G-I - Vigia DIU arm'!F22</f>
        <v>14</v>
      </c>
      <c r="G10" s="154">
        <f>F10*E10</f>
        <v>28</v>
      </c>
      <c r="H10" s="149">
        <f ca="1">'G-I - Vigia DIU arm'!G137</f>
        <v>0</v>
      </c>
      <c r="I10" s="149">
        <f ca="1">ROUND((H10*F10),2)</f>
        <v>0</v>
      </c>
      <c r="J10" s="150">
        <f ca="1">I10*12</f>
        <v>0</v>
      </c>
      <c r="K10" s="67"/>
      <c r="L10" s="67"/>
    </row>
    <row r="11" spans="1:12" ht="18" customHeight="1" x14ac:dyDescent="0.2">
      <c r="A11" s="208">
        <v>6</v>
      </c>
      <c r="B11" s="96" t="str">
        <f>'G-I - Vigia DIU Líder arm'!F16</f>
        <v>VIGILANTE ARMADO - Líder</v>
      </c>
      <c r="C11" s="153" t="str">
        <f>'G-I - Vigia DIU Líder arm'!F20</f>
        <v>12 HORAS DIURNO</v>
      </c>
      <c r="D11" s="153" t="str">
        <f>'G-I - Vigia DIU Líder arm'!F23</f>
        <v>Escala 12 x 36</v>
      </c>
      <c r="E11" s="154">
        <f>'G-I - Vigia DIU Líder arm'!F21</f>
        <v>2</v>
      </c>
      <c r="F11" s="154">
        <f>'G-I - Vigia DIU Líder arm'!F22</f>
        <v>1</v>
      </c>
      <c r="G11" s="154">
        <f t="shared" ref="G11" si="2">F11*E11</f>
        <v>2</v>
      </c>
      <c r="H11" s="149">
        <f ca="1">'G-I - Vigia DIU Líder arm'!G137</f>
        <v>0</v>
      </c>
      <c r="I11" s="149">
        <f t="shared" ca="1" si="0"/>
        <v>0</v>
      </c>
      <c r="J11" s="150">
        <f t="shared" ca="1" si="1"/>
        <v>0</v>
      </c>
      <c r="K11" s="67"/>
      <c r="L11" s="67"/>
    </row>
    <row r="12" spans="1:12" ht="18" customHeight="1" x14ac:dyDescent="0.2">
      <c r="A12" s="208">
        <v>7</v>
      </c>
      <c r="B12" s="96" t="str">
        <f>'G-I - Supervisor DIU Desarm'!F16</f>
        <v>SUPERVISOR DESARMADO</v>
      </c>
      <c r="C12" s="153" t="str">
        <f>'G-I - Supervisor DIU Desarm'!F20</f>
        <v>12 HORAS DIURNO</v>
      </c>
      <c r="D12" s="153" t="str">
        <f>'G-I - Supervisor DIU Desarm'!F23</f>
        <v>Escala 12 x 36</v>
      </c>
      <c r="E12" s="154">
        <f>'G-I - Supervisor DIU Desarm'!F21</f>
        <v>2</v>
      </c>
      <c r="F12" s="154">
        <f>'G-I - Supervisor DIU Desarm'!F22</f>
        <v>3</v>
      </c>
      <c r="G12" s="154">
        <f>F12*E12</f>
        <v>6</v>
      </c>
      <c r="H12" s="149">
        <f ca="1">'G-I - Supervisor DIU Desarm'!G137</f>
        <v>0</v>
      </c>
      <c r="I12" s="149">
        <f ca="1">ROUND((H12*F12),2)</f>
        <v>0</v>
      </c>
      <c r="J12" s="150">
        <f ca="1">I12*12</f>
        <v>0</v>
      </c>
      <c r="K12" s="67"/>
      <c r="L12" s="67"/>
    </row>
    <row r="13" spans="1:12" s="114" customFormat="1" ht="18" customHeight="1" x14ac:dyDescent="0.2">
      <c r="A13" s="209"/>
      <c r="B13" s="496" t="s">
        <v>290</v>
      </c>
      <c r="C13" s="497"/>
      <c r="D13" s="497"/>
      <c r="E13" s="498"/>
      <c r="F13" s="155">
        <f>SUM(F6:F12)</f>
        <v>68</v>
      </c>
      <c r="G13" s="155">
        <f>SUM(G6:G12)</f>
        <v>136</v>
      </c>
      <c r="H13" s="151"/>
      <c r="I13" s="151">
        <f ca="1">SUM(I6:I12)</f>
        <v>0</v>
      </c>
      <c r="J13" s="152">
        <f ca="1">I13*12</f>
        <v>0</v>
      </c>
      <c r="K13" s="113"/>
      <c r="L13" s="67"/>
    </row>
    <row r="14" spans="1:12" ht="18" customHeight="1" x14ac:dyDescent="0.2">
      <c r="A14" s="208">
        <v>8</v>
      </c>
      <c r="B14" s="96" t="str">
        <f>'G-I - Vigia NOT desarm'!F16</f>
        <v>VIGILANTE DESARMADO</v>
      </c>
      <c r="C14" s="153" t="str">
        <f>'G-I - Vigia NOT desarm'!F20</f>
        <v>12 HORAS NOTURNO</v>
      </c>
      <c r="D14" s="153" t="str">
        <f>'G-I - Vigia NOT desarm'!F23</f>
        <v>Escala 12 x 36</v>
      </c>
      <c r="E14" s="154">
        <f>'G-I - Vigia NOT desarm'!F21</f>
        <v>2</v>
      </c>
      <c r="F14" s="154">
        <f>'G-I - Vigia NOT desarm'!F22</f>
        <v>16</v>
      </c>
      <c r="G14" s="154">
        <f>F14*E14</f>
        <v>32</v>
      </c>
      <c r="H14" s="157">
        <f ca="1">'G-I - Vigia NOT desarm'!G137</f>
        <v>0</v>
      </c>
      <c r="I14" s="149">
        <f ca="1">ROUND((H14*F14),2)</f>
        <v>0</v>
      </c>
      <c r="J14" s="150">
        <f ca="1">I14*12</f>
        <v>0</v>
      </c>
      <c r="K14" s="67"/>
      <c r="L14" s="67"/>
    </row>
    <row r="15" spans="1:12" ht="18" customHeight="1" x14ac:dyDescent="0.2">
      <c r="A15" s="208">
        <v>9</v>
      </c>
      <c r="B15" s="96" t="str">
        <f>'G-I - Vigia NOT arm-cond MOTO'!F16</f>
        <v>VIGILANTE ARM - Condutor MOTO</v>
      </c>
      <c r="C15" s="153" t="str">
        <f>'G-I - Vigia NOT arm-cond MOTO'!F20</f>
        <v>12 HORAS NOTURNO</v>
      </c>
      <c r="D15" s="153" t="str">
        <f>'G-I - Vigia NOT arm-cond MOTO'!F23</f>
        <v>Escala 12 x 36</v>
      </c>
      <c r="E15" s="154">
        <f>'G-I - Vigia NOT arm-cond MOTO'!F21</f>
        <v>2</v>
      </c>
      <c r="F15" s="154">
        <f>'G-I - Vigia NOT arm-cond MOTO'!F22</f>
        <v>10</v>
      </c>
      <c r="G15" s="154">
        <f>F15*E15</f>
        <v>20</v>
      </c>
      <c r="H15" s="157">
        <f ca="1">'G-I - Vigia NOT arm-cond MOTO'!G137</f>
        <v>0</v>
      </c>
      <c r="I15" s="149">
        <f t="shared" ref="I15:I19" ca="1" si="3">ROUND((H15*F15),2)</f>
        <v>0</v>
      </c>
      <c r="J15" s="150">
        <f t="shared" ref="J15:J21" ca="1" si="4">I15*12</f>
        <v>0</v>
      </c>
      <c r="K15" s="67"/>
      <c r="L15" s="67"/>
    </row>
    <row r="16" spans="1:12" ht="18" customHeight="1" x14ac:dyDescent="0.2">
      <c r="A16" s="208">
        <v>10</v>
      </c>
      <c r="B16" s="96" t="str">
        <f>'G-I - Vigia NOT arm-cond CARRO'!F16</f>
        <v>VIGILANTE ARM - Condutor CARRO</v>
      </c>
      <c r="C16" s="153" t="str">
        <f>'G-I - Vigia NOT arm-cond CARRO'!F20</f>
        <v>12 HORAS NOTURNO</v>
      </c>
      <c r="D16" s="153" t="str">
        <f>'G-I - Vigia NOT arm-cond CARRO'!F23</f>
        <v>Escala 12 x 36</v>
      </c>
      <c r="E16" s="154">
        <f>'G-I - Vigia NOT arm-cond CARRO'!F21</f>
        <v>2</v>
      </c>
      <c r="F16" s="154">
        <f>'G-I - Vigia NOT arm-cond CARRO'!F22</f>
        <v>3</v>
      </c>
      <c r="G16" s="154">
        <f>F16*E16</f>
        <v>6</v>
      </c>
      <c r="H16" s="157">
        <f ca="1">'G-I - Vigia NOT arm-cond CARRO'!G137</f>
        <v>0</v>
      </c>
      <c r="I16" s="149">
        <f t="shared" ref="I16" ca="1" si="5">ROUND((H16*F16),2)</f>
        <v>0</v>
      </c>
      <c r="J16" s="150">
        <f t="shared" ref="J16" ca="1" si="6">I16*12</f>
        <v>0</v>
      </c>
      <c r="K16" s="67"/>
      <c r="L16" s="67"/>
    </row>
    <row r="17" spans="1:13" ht="18" customHeight="1" x14ac:dyDescent="0.2">
      <c r="A17" s="208">
        <v>11</v>
      </c>
      <c r="B17" s="96" t="str">
        <f>'G-I - Vigia NOT arm'!F16</f>
        <v>VIGILANTE ARMADO</v>
      </c>
      <c r="C17" s="153" t="str">
        <f>'G-I - Vigia NOT arm'!F20</f>
        <v>12 HORAS NOTURNO</v>
      </c>
      <c r="D17" s="153" t="str">
        <f>'G-I - Vigia NOT arm'!F23</f>
        <v>Escala 12 x 36</v>
      </c>
      <c r="E17" s="154">
        <f>'G-I - Vigia NOT arm'!F21</f>
        <v>2</v>
      </c>
      <c r="F17" s="154">
        <f>'G-I - Vigia NOT arm'!F22</f>
        <v>22</v>
      </c>
      <c r="G17" s="154">
        <f t="shared" ref="G17:G19" si="7">F17*E17</f>
        <v>44</v>
      </c>
      <c r="H17" s="149">
        <f ca="1">'G-I - Vigia NOT arm'!G137</f>
        <v>0</v>
      </c>
      <c r="I17" s="149">
        <f t="shared" ca="1" si="3"/>
        <v>0</v>
      </c>
      <c r="J17" s="150">
        <f t="shared" ca="1" si="4"/>
        <v>0</v>
      </c>
      <c r="K17" s="67"/>
      <c r="L17" s="67"/>
    </row>
    <row r="18" spans="1:13" ht="18" customHeight="1" x14ac:dyDescent="0.2">
      <c r="A18" s="208">
        <v>12</v>
      </c>
      <c r="B18" s="96" t="str">
        <f>'G-I - Vigia NOT Líder arm'!F16</f>
        <v>VIGILANTE ARMADO - Líder</v>
      </c>
      <c r="C18" s="153" t="str">
        <f>'G-I - Vigia NOT Líder arm'!F20</f>
        <v>12 HORAS NOTURNO</v>
      </c>
      <c r="D18" s="153" t="str">
        <f>'G-I - Vigia NOT Líder arm'!F23</f>
        <v>Escala 12 x 36</v>
      </c>
      <c r="E18" s="154">
        <f>'G-I - Vigia NOT Líder arm'!F21</f>
        <v>2</v>
      </c>
      <c r="F18" s="154">
        <f>'G-I - Vigia NOT Líder arm'!F22</f>
        <v>1</v>
      </c>
      <c r="G18" s="154">
        <f t="shared" si="7"/>
        <v>2</v>
      </c>
      <c r="H18" s="149">
        <f ca="1">'G-I - Vigia NOT Líder arm'!G137</f>
        <v>0</v>
      </c>
      <c r="I18" s="149">
        <f t="shared" ca="1" si="3"/>
        <v>0</v>
      </c>
      <c r="J18" s="150">
        <f t="shared" ca="1" si="4"/>
        <v>0</v>
      </c>
      <c r="K18" s="67"/>
      <c r="L18" s="67"/>
    </row>
    <row r="19" spans="1:13" ht="18" customHeight="1" x14ac:dyDescent="0.2">
      <c r="A19" s="208">
        <v>13</v>
      </c>
      <c r="B19" s="96" t="str">
        <f>'G-I - Supervisor NOT Desarm'!F16</f>
        <v>SUPERVISOR DESARMADO</v>
      </c>
      <c r="C19" s="153" t="str">
        <f>'G-I - Supervisor NOT Desarm'!F20</f>
        <v>12 HORAS NOTURNO</v>
      </c>
      <c r="D19" s="153" t="str">
        <f>'G-I - Supervisor NOT Desarm'!F23</f>
        <v>Escala 12 x 36</v>
      </c>
      <c r="E19" s="154">
        <f>'G-I - Supervisor NOT Desarm'!F21</f>
        <v>2</v>
      </c>
      <c r="F19" s="154">
        <f>'G-I - Supervisor NOT Desarm'!F22</f>
        <v>2</v>
      </c>
      <c r="G19" s="154">
        <f t="shared" si="7"/>
        <v>4</v>
      </c>
      <c r="H19" s="149">
        <f ca="1">'G-I - Supervisor NOT Desarm'!G137</f>
        <v>0</v>
      </c>
      <c r="I19" s="149">
        <f t="shared" ca="1" si="3"/>
        <v>0</v>
      </c>
      <c r="J19" s="150">
        <f t="shared" ca="1" si="4"/>
        <v>0</v>
      </c>
      <c r="K19" s="67"/>
      <c r="L19" s="67"/>
    </row>
    <row r="20" spans="1:13" s="114" customFormat="1" ht="18" customHeight="1" x14ac:dyDescent="0.2">
      <c r="A20" s="209"/>
      <c r="B20" s="496" t="s">
        <v>289</v>
      </c>
      <c r="C20" s="497"/>
      <c r="D20" s="497"/>
      <c r="E20" s="498"/>
      <c r="F20" s="155">
        <f>SUM(F14:F19)</f>
        <v>54</v>
      </c>
      <c r="G20" s="155">
        <f>SUM(G14:G19)</f>
        <v>108</v>
      </c>
      <c r="H20" s="151"/>
      <c r="I20" s="151">
        <f ca="1">SUM(I14:I19)</f>
        <v>0</v>
      </c>
      <c r="J20" s="152">
        <f t="shared" ca="1" si="4"/>
        <v>0</v>
      </c>
      <c r="K20" s="113"/>
      <c r="L20" s="67"/>
    </row>
    <row r="21" spans="1:13" s="114" customFormat="1" ht="18" customHeight="1" x14ac:dyDescent="0.2">
      <c r="A21" s="209"/>
      <c r="B21" s="496" t="s">
        <v>305</v>
      </c>
      <c r="C21" s="497"/>
      <c r="D21" s="497"/>
      <c r="E21" s="498"/>
      <c r="F21" s="155">
        <f>SUM(F20,F13)</f>
        <v>122</v>
      </c>
      <c r="G21" s="155">
        <f>SUM(G20,G13)</f>
        <v>244</v>
      </c>
      <c r="H21" s="151"/>
      <c r="I21" s="151">
        <f ca="1">SUM(I13+I20)</f>
        <v>0</v>
      </c>
      <c r="J21" s="152">
        <f t="shared" ca="1" si="4"/>
        <v>0</v>
      </c>
      <c r="K21" s="113"/>
      <c r="L21" s="67"/>
    </row>
    <row r="22" spans="1:13" s="114" customFormat="1" ht="18" customHeight="1" x14ac:dyDescent="0.2">
      <c r="A22" s="209"/>
      <c r="B22" s="499" t="s">
        <v>309</v>
      </c>
      <c r="C22" s="500"/>
      <c r="D22" s="500"/>
      <c r="E22" s="500"/>
      <c r="F22" s="500"/>
      <c r="G22" s="500"/>
      <c r="H22" s="500"/>
      <c r="I22" s="500"/>
      <c r="J22" s="501"/>
      <c r="K22" s="113"/>
      <c r="L22" s="67"/>
    </row>
    <row r="23" spans="1:13" s="243" customFormat="1" ht="18" customHeight="1" x14ac:dyDescent="0.2">
      <c r="A23" s="246">
        <v>14</v>
      </c>
      <c r="B23" s="244" t="str">
        <f>'G-II - Vigia OP MONITORA DIU'!F16</f>
        <v>VIGILANTE OP. MONITORAMENTO</v>
      </c>
      <c r="C23" s="245" t="str">
        <f>'G-II - Vigia OP MONITORA DIU'!F20</f>
        <v>12 HORAS DIURNO</v>
      </c>
      <c r="D23" s="245" t="str">
        <f>'G-II - Vigia OP MONITORA DIU'!F23</f>
        <v>Escala 12 x 36</v>
      </c>
      <c r="E23" s="158">
        <f>'G-II - Vigia OP MONITORA DIU'!F21</f>
        <v>2</v>
      </c>
      <c r="F23" s="158">
        <f>'G-II - Vigia OP MONITORA DIU'!F22:G22</f>
        <v>4</v>
      </c>
      <c r="G23" s="158">
        <f>F23*E23</f>
        <v>8</v>
      </c>
      <c r="H23" s="149">
        <f ca="1">'G-II - Vigia OP MONITORA DIU'!G137</f>
        <v>0</v>
      </c>
      <c r="I23" s="149">
        <f t="shared" ref="I23:I24" ca="1" si="8">ROUND((H23*F23),2)</f>
        <v>0</v>
      </c>
      <c r="J23" s="150">
        <f t="shared" ref="J23:J25" ca="1" si="9">I23*12</f>
        <v>0</v>
      </c>
      <c r="K23" s="241"/>
      <c r="L23" s="242"/>
    </row>
    <row r="24" spans="1:13" s="243" customFormat="1" ht="18" customHeight="1" x14ac:dyDescent="0.2">
      <c r="A24" s="246">
        <v>15</v>
      </c>
      <c r="B24" s="244" t="str">
        <f>'G-II - Vigia OP MONITORA NOT'!F16</f>
        <v>VIGILANTE OP MONITORAMENTO</v>
      </c>
      <c r="C24" s="245" t="str">
        <f>'G-II - Vigia OP MONITORA NOT'!F20</f>
        <v>12 HORAS NOTURNO</v>
      </c>
      <c r="D24" s="245" t="str">
        <f>'G-II - Vigia OP MONITORA NOT'!F23</f>
        <v>Escala 12 x 36</v>
      </c>
      <c r="E24" s="158">
        <f>'G-II - Vigia OP MONITORA NOT'!F21</f>
        <v>2</v>
      </c>
      <c r="F24" s="158">
        <f>'G-II - Vigia OP MONITORA NOT'!F22:G22</f>
        <v>4</v>
      </c>
      <c r="G24" s="158">
        <f>F24*E24</f>
        <v>8</v>
      </c>
      <c r="H24" s="149">
        <f ca="1">'G-II - Vigia OP MONITORA NOT'!G137</f>
        <v>0</v>
      </c>
      <c r="I24" s="149">
        <f t="shared" ca="1" si="8"/>
        <v>0</v>
      </c>
      <c r="J24" s="150">
        <f t="shared" ca="1" si="9"/>
        <v>0</v>
      </c>
      <c r="K24" s="241"/>
      <c r="L24" s="242"/>
    </row>
    <row r="25" spans="1:13" s="243" customFormat="1" ht="18" customHeight="1" x14ac:dyDescent="0.2">
      <c r="A25" s="240"/>
      <c r="B25" s="496" t="s">
        <v>306</v>
      </c>
      <c r="C25" s="497"/>
      <c r="D25" s="497"/>
      <c r="E25" s="497"/>
      <c r="F25" s="155">
        <f>SUM(F23:F24)</f>
        <v>8</v>
      </c>
      <c r="G25" s="155">
        <f>SUM(G23:G24)</f>
        <v>16</v>
      </c>
      <c r="H25" s="151"/>
      <c r="I25" s="151">
        <f ca="1">SUM(I23:I24)</f>
        <v>0</v>
      </c>
      <c r="J25" s="152">
        <f t="shared" ca="1" si="9"/>
        <v>0</v>
      </c>
      <c r="K25" s="241"/>
      <c r="L25" s="242"/>
    </row>
    <row r="26" spans="1:13" s="243" customFormat="1" ht="24.75" customHeight="1" x14ac:dyDescent="0.2">
      <c r="A26" s="240"/>
      <c r="B26" s="505" t="s">
        <v>308</v>
      </c>
      <c r="C26" s="506"/>
      <c r="D26" s="506"/>
      <c r="E26" s="506"/>
      <c r="F26" s="250">
        <f>SUM(F21+F25)</f>
        <v>130</v>
      </c>
      <c r="G26" s="250">
        <f>SUM(G21+G25)</f>
        <v>260</v>
      </c>
      <c r="H26" s="251"/>
      <c r="I26" s="251">
        <f ca="1">SUM(I25+I21)</f>
        <v>0</v>
      </c>
      <c r="J26" s="252">
        <f ca="1">I26*12</f>
        <v>0</v>
      </c>
      <c r="K26" s="241"/>
      <c r="L26" s="242"/>
    </row>
    <row r="27" spans="1:13" s="243" customFormat="1" ht="18" customHeight="1" x14ac:dyDescent="0.2">
      <c r="A27" s="240"/>
      <c r="B27" s="231"/>
      <c r="C27" s="232"/>
      <c r="D27" s="232"/>
      <c r="E27" s="232"/>
      <c r="F27" s="247"/>
      <c r="G27" s="247"/>
      <c r="H27" s="248"/>
      <c r="I27" s="248"/>
      <c r="J27" s="249"/>
      <c r="K27" s="241"/>
      <c r="L27" s="242"/>
    </row>
    <row r="28" spans="1:13" s="116" customFormat="1" ht="28.5" customHeight="1" thickBot="1" x14ac:dyDescent="0.25">
      <c r="A28" s="210"/>
      <c r="B28" s="481" t="s">
        <v>224</v>
      </c>
      <c r="C28" s="482"/>
      <c r="D28" s="482"/>
      <c r="E28" s="483"/>
      <c r="F28" s="253">
        <f>SUM(F13,F20,F25)</f>
        <v>130</v>
      </c>
      <c r="G28" s="253">
        <f>SUM(G13,G20,G25)</f>
        <v>260</v>
      </c>
      <c r="H28" s="254"/>
      <c r="I28" s="254">
        <f ca="1">SUM(I13,I20,I25)</f>
        <v>0</v>
      </c>
      <c r="J28" s="255">
        <f ca="1">I28*12</f>
        <v>0</v>
      </c>
      <c r="K28" s="115"/>
      <c r="M28" s="115"/>
    </row>
  </sheetData>
  <mergeCells count="12">
    <mergeCell ref="B28:E28"/>
    <mergeCell ref="B1:J1"/>
    <mergeCell ref="B2:J2"/>
    <mergeCell ref="B3:J3"/>
    <mergeCell ref="B4:D4"/>
    <mergeCell ref="B13:E13"/>
    <mergeCell ref="B20:E20"/>
    <mergeCell ref="B21:E21"/>
    <mergeCell ref="B25:E25"/>
    <mergeCell ref="B22:J22"/>
    <mergeCell ref="B5:J5"/>
    <mergeCell ref="B26:E26"/>
  </mergeCells>
  <printOptions horizontalCentered="1" verticalCentered="1"/>
  <pageMargins left="0.39370078740157483" right="0.39370078740157483" top="0.98425196850393704" bottom="0.98425196850393704" header="0.78740157480314965" footer="0.6692913385826772"/>
  <pageSetup paperSize="9" scale="83" orientation="landscape" r:id="rId1"/>
  <headerFooter alignWithMargins="0">
    <oddHeader>&amp;R&amp;9Planilha MODELO</oddHeader>
    <oddFooter>&amp;C&amp;9&amp;A - Pág.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J55"/>
  <sheetViews>
    <sheetView view="pageBreakPreview" zoomScaleNormal="100" zoomScaleSheetLayoutView="100" workbookViewId="0">
      <selection activeCell="B2" sqref="B2:E2"/>
    </sheetView>
  </sheetViews>
  <sheetFormatPr defaultColWidth="9.140625" defaultRowHeight="16.5" x14ac:dyDescent="0.2"/>
  <cols>
    <col min="1" max="2" width="7.7109375" style="258" customWidth="1"/>
    <col min="3" max="3" width="54" style="260" customWidth="1"/>
    <col min="4" max="4" width="6.5703125" style="260" customWidth="1"/>
    <col min="5" max="5" width="9.7109375" style="280" bestFit="1" customWidth="1"/>
    <col min="6" max="6" width="12.5703125" style="281" customWidth="1"/>
    <col min="7" max="7" width="15.42578125" style="281" customWidth="1"/>
    <col min="8" max="8" width="24.5703125" style="281" customWidth="1"/>
    <col min="9" max="9" width="15.5703125" style="259" bestFit="1" customWidth="1"/>
    <col min="10" max="12" width="12.85546875" style="259" bestFit="1" customWidth="1"/>
    <col min="13" max="62" width="9.140625" style="259"/>
    <col min="63" max="16384" width="9.140625" style="260"/>
  </cols>
  <sheetData>
    <row r="1" spans="1:62" s="257" customFormat="1" ht="18.75" thickBot="1" x14ac:dyDescent="0.25">
      <c r="A1" s="256"/>
      <c r="B1" s="510" t="s">
        <v>371</v>
      </c>
      <c r="C1" s="511"/>
      <c r="D1" s="511"/>
      <c r="E1" s="511"/>
      <c r="F1" s="511"/>
      <c r="G1" s="511"/>
      <c r="H1" s="512"/>
    </row>
    <row r="2" spans="1:62" x14ac:dyDescent="0.2">
      <c r="B2" s="513" t="s">
        <v>296</v>
      </c>
      <c r="C2" s="514"/>
      <c r="D2" s="514"/>
      <c r="E2" s="515"/>
      <c r="F2" s="516" t="s">
        <v>310</v>
      </c>
      <c r="G2" s="517"/>
      <c r="H2" s="518"/>
    </row>
    <row r="3" spans="1:62" x14ac:dyDescent="0.2">
      <c r="B3" s="519" t="s">
        <v>294</v>
      </c>
      <c r="C3" s="520"/>
      <c r="D3" s="520"/>
      <c r="E3" s="520"/>
      <c r="F3" s="520"/>
      <c r="G3" s="520"/>
      <c r="H3" s="521"/>
    </row>
    <row r="4" spans="1:62" s="265" customFormat="1" x14ac:dyDescent="0.2">
      <c r="A4" s="258"/>
      <c r="B4" s="261" t="s">
        <v>311</v>
      </c>
      <c r="C4" s="522" t="s">
        <v>312</v>
      </c>
      <c r="D4" s="523"/>
      <c r="E4" s="523"/>
      <c r="F4" s="524"/>
      <c r="G4" s="262" t="s">
        <v>313</v>
      </c>
      <c r="H4" s="263" t="s">
        <v>143</v>
      </c>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row>
    <row r="5" spans="1:62" x14ac:dyDescent="0.3">
      <c r="B5" s="266">
        <v>1</v>
      </c>
      <c r="C5" s="507" t="s">
        <v>314</v>
      </c>
      <c r="D5" s="508"/>
      <c r="E5" s="508"/>
      <c r="F5" s="509"/>
      <c r="G5" s="267" t="s">
        <v>315</v>
      </c>
      <c r="H5" s="268">
        <v>90</v>
      </c>
    </row>
    <row r="6" spans="1:62" x14ac:dyDescent="0.3">
      <c r="B6" s="266">
        <v>2</v>
      </c>
      <c r="C6" s="507" t="s">
        <v>316</v>
      </c>
      <c r="D6" s="508"/>
      <c r="E6" s="508"/>
      <c r="F6" s="509"/>
      <c r="G6" s="267" t="s">
        <v>315</v>
      </c>
      <c r="H6" s="268">
        <v>37</v>
      </c>
    </row>
    <row r="7" spans="1:62" x14ac:dyDescent="0.3">
      <c r="B7" s="266">
        <v>3</v>
      </c>
      <c r="C7" s="507" t="s">
        <v>317</v>
      </c>
      <c r="D7" s="508"/>
      <c r="E7" s="508"/>
      <c r="F7" s="509"/>
      <c r="G7" s="267" t="s">
        <v>315</v>
      </c>
      <c r="H7" s="268">
        <v>33</v>
      </c>
    </row>
    <row r="8" spans="1:62" x14ac:dyDescent="0.3">
      <c r="B8" s="266">
        <v>4</v>
      </c>
      <c r="C8" s="507" t="s">
        <v>318</v>
      </c>
      <c r="D8" s="508"/>
      <c r="E8" s="508"/>
      <c r="F8" s="509"/>
      <c r="G8" s="267" t="s">
        <v>315</v>
      </c>
      <c r="H8" s="268">
        <v>1</v>
      </c>
    </row>
    <row r="9" spans="1:62" x14ac:dyDescent="0.3">
      <c r="B9" s="266">
        <v>5</v>
      </c>
      <c r="C9" s="507" t="s">
        <v>319</v>
      </c>
      <c r="D9" s="508"/>
      <c r="E9" s="508"/>
      <c r="F9" s="509"/>
      <c r="G9" s="267" t="s">
        <v>315</v>
      </c>
      <c r="H9" s="268">
        <v>14</v>
      </c>
    </row>
    <row r="10" spans="1:62" x14ac:dyDescent="0.3">
      <c r="B10" s="266">
        <v>6</v>
      </c>
      <c r="C10" s="507" t="s">
        <v>320</v>
      </c>
      <c r="D10" s="508"/>
      <c r="E10" s="508"/>
      <c r="F10" s="509"/>
      <c r="G10" s="267" t="s">
        <v>315</v>
      </c>
      <c r="H10" s="268">
        <v>15</v>
      </c>
    </row>
    <row r="11" spans="1:62" x14ac:dyDescent="0.3">
      <c r="B11" s="266">
        <v>7</v>
      </c>
      <c r="C11" s="507" t="s">
        <v>321</v>
      </c>
      <c r="D11" s="508"/>
      <c r="E11" s="508"/>
      <c r="F11" s="509"/>
      <c r="G11" s="267" t="s">
        <v>315</v>
      </c>
      <c r="H11" s="268">
        <v>14</v>
      </c>
    </row>
    <row r="12" spans="1:62" x14ac:dyDescent="0.3">
      <c r="B12" s="266">
        <v>8</v>
      </c>
      <c r="C12" s="507" t="s">
        <v>322</v>
      </c>
      <c r="D12" s="508"/>
      <c r="E12" s="508"/>
      <c r="F12" s="509"/>
      <c r="G12" s="267" t="s">
        <v>315</v>
      </c>
      <c r="H12" s="268">
        <v>28</v>
      </c>
    </row>
    <row r="13" spans="1:62" x14ac:dyDescent="0.3">
      <c r="B13" s="266">
        <v>9</v>
      </c>
      <c r="C13" s="507" t="s">
        <v>323</v>
      </c>
      <c r="D13" s="508"/>
      <c r="E13" s="508"/>
      <c r="F13" s="509"/>
      <c r="G13" s="267" t="s">
        <v>315</v>
      </c>
      <c r="H13" s="268">
        <v>8</v>
      </c>
    </row>
    <row r="14" spans="1:62" x14ac:dyDescent="0.3">
      <c r="B14" s="266">
        <v>10</v>
      </c>
      <c r="C14" s="507" t="s">
        <v>324</v>
      </c>
      <c r="D14" s="508"/>
      <c r="E14" s="508"/>
      <c r="F14" s="509"/>
      <c r="G14" s="267" t="s">
        <v>315</v>
      </c>
      <c r="H14" s="268">
        <v>1</v>
      </c>
    </row>
    <row r="15" spans="1:62" x14ac:dyDescent="0.3">
      <c r="B15" s="266">
        <v>11</v>
      </c>
      <c r="C15" s="507" t="s">
        <v>325</v>
      </c>
      <c r="D15" s="508"/>
      <c r="E15" s="508"/>
      <c r="F15" s="509"/>
      <c r="G15" s="267" t="s">
        <v>315</v>
      </c>
      <c r="H15" s="268">
        <v>3</v>
      </c>
    </row>
    <row r="16" spans="1:62" x14ac:dyDescent="0.3">
      <c r="B16" s="266">
        <v>12</v>
      </c>
      <c r="C16" s="507" t="s">
        <v>326</v>
      </c>
      <c r="D16" s="508"/>
      <c r="E16" s="508"/>
      <c r="F16" s="509"/>
      <c r="G16" s="267" t="s">
        <v>315</v>
      </c>
      <c r="H16" s="268">
        <v>4</v>
      </c>
    </row>
    <row r="17" spans="1:62" x14ac:dyDescent="0.3">
      <c r="B17" s="266">
        <v>13</v>
      </c>
      <c r="C17" s="507" t="s">
        <v>327</v>
      </c>
      <c r="D17" s="508"/>
      <c r="E17" s="508"/>
      <c r="F17" s="509"/>
      <c r="G17" s="267" t="s">
        <v>315</v>
      </c>
      <c r="H17" s="268">
        <v>8</v>
      </c>
    </row>
    <row r="18" spans="1:62" x14ac:dyDescent="0.3">
      <c r="B18" s="266">
        <v>14</v>
      </c>
      <c r="C18" s="507" t="s">
        <v>328</v>
      </c>
      <c r="D18" s="508"/>
      <c r="E18" s="508"/>
      <c r="F18" s="509"/>
      <c r="G18" s="267" t="s">
        <v>315</v>
      </c>
      <c r="H18" s="268">
        <v>2</v>
      </c>
    </row>
    <row r="19" spans="1:62" x14ac:dyDescent="0.3">
      <c r="B19" s="266">
        <v>15</v>
      </c>
      <c r="C19" s="507" t="s">
        <v>329</v>
      </c>
      <c r="D19" s="508"/>
      <c r="E19" s="508"/>
      <c r="F19" s="509"/>
      <c r="G19" s="267" t="s">
        <v>315</v>
      </c>
      <c r="H19" s="268">
        <v>1</v>
      </c>
    </row>
    <row r="20" spans="1:62" x14ac:dyDescent="0.3">
      <c r="B20" s="266">
        <v>16</v>
      </c>
      <c r="C20" s="507" t="s">
        <v>330</v>
      </c>
      <c r="D20" s="508"/>
      <c r="E20" s="508"/>
      <c r="F20" s="509"/>
      <c r="G20" s="267" t="s">
        <v>315</v>
      </c>
      <c r="H20" s="268">
        <v>1</v>
      </c>
    </row>
    <row r="21" spans="1:62" x14ac:dyDescent="0.3">
      <c r="B21" s="266">
        <v>17</v>
      </c>
      <c r="C21" s="507" t="s">
        <v>331</v>
      </c>
      <c r="D21" s="508"/>
      <c r="E21" s="508"/>
      <c r="F21" s="509"/>
      <c r="G21" s="267" t="s">
        <v>315</v>
      </c>
      <c r="H21" s="268">
        <v>6</v>
      </c>
    </row>
    <row r="22" spans="1:62" x14ac:dyDescent="0.3">
      <c r="B22" s="266">
        <v>18</v>
      </c>
      <c r="C22" s="507" t="s">
        <v>332</v>
      </c>
      <c r="D22" s="508"/>
      <c r="E22" s="508"/>
      <c r="F22" s="509"/>
      <c r="G22" s="267" t="s">
        <v>315</v>
      </c>
      <c r="H22" s="268">
        <v>1</v>
      </c>
    </row>
    <row r="23" spans="1:62" x14ac:dyDescent="0.3">
      <c r="B23" s="266">
        <v>19</v>
      </c>
      <c r="C23" s="507" t="s">
        <v>333</v>
      </c>
      <c r="D23" s="508"/>
      <c r="E23" s="508"/>
      <c r="F23" s="509"/>
      <c r="G23" s="267" t="s">
        <v>315</v>
      </c>
      <c r="H23" s="268">
        <v>1</v>
      </c>
    </row>
    <row r="24" spans="1:62" x14ac:dyDescent="0.3">
      <c r="B24" s="266">
        <v>20</v>
      </c>
      <c r="C24" s="507" t="s">
        <v>334</v>
      </c>
      <c r="D24" s="508"/>
      <c r="E24" s="508"/>
      <c r="F24" s="509"/>
      <c r="G24" s="267" t="s">
        <v>315</v>
      </c>
      <c r="H24" s="268">
        <v>1</v>
      </c>
    </row>
    <row r="25" spans="1:62" x14ac:dyDescent="0.3">
      <c r="B25" s="266">
        <v>21</v>
      </c>
      <c r="C25" s="507" t="s">
        <v>335</v>
      </c>
      <c r="D25" s="508"/>
      <c r="E25" s="508"/>
      <c r="F25" s="509"/>
      <c r="G25" s="267" t="s">
        <v>315</v>
      </c>
      <c r="H25" s="268">
        <v>4</v>
      </c>
    </row>
    <row r="26" spans="1:62" x14ac:dyDescent="0.3">
      <c r="B26" s="266">
        <v>22</v>
      </c>
      <c r="C26" s="507" t="s">
        <v>336</v>
      </c>
      <c r="D26" s="508"/>
      <c r="E26" s="508"/>
      <c r="F26" s="509"/>
      <c r="G26" s="267" t="s">
        <v>315</v>
      </c>
      <c r="H26" s="268">
        <v>4</v>
      </c>
    </row>
    <row r="27" spans="1:62" x14ac:dyDescent="0.3">
      <c r="B27" s="266">
        <v>23</v>
      </c>
      <c r="C27" s="507" t="s">
        <v>337</v>
      </c>
      <c r="D27" s="508"/>
      <c r="E27" s="508"/>
      <c r="F27" s="509"/>
      <c r="G27" s="267" t="s">
        <v>315</v>
      </c>
      <c r="H27" s="268">
        <v>2</v>
      </c>
    </row>
    <row r="28" spans="1:62" x14ac:dyDescent="0.3">
      <c r="B28" s="266">
        <v>24</v>
      </c>
      <c r="C28" s="507" t="s">
        <v>338</v>
      </c>
      <c r="D28" s="508"/>
      <c r="E28" s="508"/>
      <c r="F28" s="509"/>
      <c r="G28" s="267" t="s">
        <v>315</v>
      </c>
      <c r="H28" s="268">
        <v>2</v>
      </c>
    </row>
    <row r="29" spans="1:62" x14ac:dyDescent="0.3">
      <c r="B29" s="266">
        <v>25</v>
      </c>
      <c r="C29" s="507" t="s">
        <v>339</v>
      </c>
      <c r="D29" s="508"/>
      <c r="E29" s="508"/>
      <c r="F29" s="509"/>
      <c r="G29" s="267" t="s">
        <v>315</v>
      </c>
      <c r="H29" s="268">
        <v>1</v>
      </c>
    </row>
    <row r="30" spans="1:62" ht="17.25" thickBot="1" x14ac:dyDescent="0.35">
      <c r="B30" s="266">
        <v>26</v>
      </c>
      <c r="C30" s="507" t="s">
        <v>340</v>
      </c>
      <c r="D30" s="508"/>
      <c r="E30" s="508"/>
      <c r="F30" s="509"/>
      <c r="G30" s="267" t="s">
        <v>315</v>
      </c>
      <c r="H30" s="268">
        <v>3</v>
      </c>
    </row>
    <row r="31" spans="1:62" ht="17.25" thickBot="1" x14ac:dyDescent="0.25">
      <c r="B31" s="528" t="s">
        <v>341</v>
      </c>
      <c r="C31" s="529"/>
      <c r="D31" s="529"/>
      <c r="E31" s="529"/>
      <c r="F31" s="529"/>
      <c r="G31" s="529"/>
      <c r="H31" s="530"/>
    </row>
    <row r="32" spans="1:62" s="274" customFormat="1" x14ac:dyDescent="0.2">
      <c r="A32" s="269"/>
      <c r="B32" s="270" t="s">
        <v>311</v>
      </c>
      <c r="C32" s="531" t="s">
        <v>312</v>
      </c>
      <c r="D32" s="532"/>
      <c r="E32" s="532"/>
      <c r="F32" s="533"/>
      <c r="G32" s="271" t="s">
        <v>313</v>
      </c>
      <c r="H32" s="272" t="s">
        <v>143</v>
      </c>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73"/>
      <c r="AM32" s="273"/>
      <c r="AN32" s="273"/>
      <c r="AO32" s="273"/>
      <c r="AP32" s="273"/>
      <c r="AQ32" s="273"/>
      <c r="AR32" s="273"/>
      <c r="AS32" s="273"/>
      <c r="AT32" s="273"/>
      <c r="AU32" s="273"/>
      <c r="AV32" s="273"/>
      <c r="AW32" s="273"/>
      <c r="AX32" s="273"/>
      <c r="AY32" s="273"/>
      <c r="AZ32" s="273"/>
      <c r="BA32" s="273"/>
      <c r="BB32" s="273"/>
      <c r="BC32" s="273"/>
      <c r="BD32" s="273"/>
      <c r="BE32" s="273"/>
      <c r="BF32" s="273"/>
      <c r="BG32" s="273"/>
      <c r="BH32" s="273"/>
      <c r="BI32" s="273"/>
      <c r="BJ32" s="273"/>
    </row>
    <row r="33" spans="1:62" s="274" customFormat="1" x14ac:dyDescent="0.2">
      <c r="A33" s="269"/>
      <c r="B33" s="266">
        <v>1</v>
      </c>
      <c r="C33" s="525" t="s">
        <v>342</v>
      </c>
      <c r="D33" s="526"/>
      <c r="E33" s="526"/>
      <c r="F33" s="527"/>
      <c r="G33" s="262" t="s">
        <v>343</v>
      </c>
      <c r="H33" s="263">
        <v>51</v>
      </c>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c r="AM33" s="273"/>
      <c r="AN33" s="273"/>
      <c r="AO33" s="273"/>
      <c r="AP33" s="273"/>
      <c r="AQ33" s="273"/>
      <c r="AR33" s="273"/>
      <c r="AS33" s="273"/>
      <c r="AT33" s="273"/>
      <c r="AU33" s="273"/>
      <c r="AV33" s="273"/>
      <c r="AW33" s="273"/>
      <c r="AX33" s="273"/>
      <c r="AY33" s="273"/>
      <c r="AZ33" s="273"/>
      <c r="BA33" s="273"/>
      <c r="BB33" s="273"/>
      <c r="BC33" s="273"/>
      <c r="BD33" s="273"/>
      <c r="BE33" s="273"/>
      <c r="BF33" s="273"/>
      <c r="BG33" s="273"/>
      <c r="BH33" s="273"/>
      <c r="BI33" s="273"/>
      <c r="BJ33" s="273"/>
    </row>
    <row r="34" spans="1:62" s="274" customFormat="1" x14ac:dyDescent="0.2">
      <c r="A34" s="269"/>
      <c r="B34" s="266">
        <v>2</v>
      </c>
      <c r="C34" s="525" t="s">
        <v>344</v>
      </c>
      <c r="D34" s="526"/>
      <c r="E34" s="526"/>
      <c r="F34" s="527"/>
      <c r="G34" s="262" t="s">
        <v>343</v>
      </c>
      <c r="H34" s="263">
        <v>175</v>
      </c>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73"/>
      <c r="AM34" s="273"/>
      <c r="AN34" s="273"/>
      <c r="AO34" s="273"/>
      <c r="AP34" s="273"/>
      <c r="AQ34" s="273"/>
      <c r="AR34" s="273"/>
      <c r="AS34" s="273"/>
      <c r="AT34" s="273"/>
      <c r="AU34" s="273"/>
      <c r="AV34" s="273"/>
      <c r="AW34" s="273"/>
      <c r="AX34" s="273"/>
      <c r="AY34" s="273"/>
      <c r="AZ34" s="273"/>
      <c r="BA34" s="273"/>
      <c r="BB34" s="273"/>
      <c r="BC34" s="273"/>
      <c r="BD34" s="273"/>
      <c r="BE34" s="273"/>
      <c r="BF34" s="273"/>
      <c r="BG34" s="273"/>
      <c r="BH34" s="273"/>
      <c r="BI34" s="273"/>
      <c r="BJ34" s="273"/>
    </row>
    <row r="35" spans="1:62" s="274" customFormat="1" x14ac:dyDescent="0.2">
      <c r="A35" s="269"/>
      <c r="B35" s="266">
        <v>3</v>
      </c>
      <c r="C35" s="525" t="s">
        <v>345</v>
      </c>
      <c r="D35" s="526"/>
      <c r="E35" s="526"/>
      <c r="F35" s="527"/>
      <c r="G35" s="262" t="s">
        <v>343</v>
      </c>
      <c r="H35" s="263">
        <v>25</v>
      </c>
      <c r="I35" s="273"/>
      <c r="J35" s="273"/>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73"/>
      <c r="AM35" s="273"/>
      <c r="AN35" s="273"/>
      <c r="AO35" s="273"/>
      <c r="AP35" s="273"/>
      <c r="AQ35" s="273"/>
      <c r="AR35" s="273"/>
      <c r="AS35" s="273"/>
      <c r="AT35" s="273"/>
      <c r="AU35" s="273"/>
      <c r="AV35" s="273"/>
      <c r="AW35" s="273"/>
      <c r="AX35" s="273"/>
      <c r="AY35" s="273"/>
      <c r="AZ35" s="273"/>
      <c r="BA35" s="273"/>
      <c r="BB35" s="273"/>
      <c r="BC35" s="273"/>
      <c r="BD35" s="273"/>
      <c r="BE35" s="273"/>
      <c r="BF35" s="273"/>
      <c r="BG35" s="273"/>
      <c r="BH35" s="273"/>
      <c r="BI35" s="273"/>
      <c r="BJ35" s="273"/>
    </row>
    <row r="36" spans="1:62" s="274" customFormat="1" x14ac:dyDescent="0.2">
      <c r="A36" s="269"/>
      <c r="B36" s="266">
        <v>4</v>
      </c>
      <c r="C36" s="525" t="s">
        <v>346</v>
      </c>
      <c r="D36" s="526"/>
      <c r="E36" s="526"/>
      <c r="F36" s="527"/>
      <c r="G36" s="262" t="s">
        <v>343</v>
      </c>
      <c r="H36" s="263">
        <v>200</v>
      </c>
      <c r="I36" s="273"/>
      <c r="J36" s="273"/>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73"/>
      <c r="AM36" s="273"/>
      <c r="AN36" s="273"/>
      <c r="AO36" s="273"/>
      <c r="AP36" s="273"/>
      <c r="AQ36" s="273"/>
      <c r="AR36" s="273"/>
      <c r="AS36" s="273"/>
      <c r="AT36" s="273"/>
      <c r="AU36" s="273"/>
      <c r="AV36" s="273"/>
      <c r="AW36" s="273"/>
      <c r="AX36" s="273"/>
      <c r="AY36" s="273"/>
      <c r="AZ36" s="273"/>
      <c r="BA36" s="273"/>
      <c r="BB36" s="273"/>
      <c r="BC36" s="273"/>
      <c r="BD36" s="273"/>
      <c r="BE36" s="273"/>
      <c r="BF36" s="273"/>
      <c r="BG36" s="273"/>
      <c r="BH36" s="273"/>
      <c r="BI36" s="273"/>
      <c r="BJ36" s="273"/>
    </row>
    <row r="37" spans="1:62" s="274" customFormat="1" x14ac:dyDescent="0.2">
      <c r="A37" s="269"/>
      <c r="B37" s="266">
        <v>5</v>
      </c>
      <c r="C37" s="525" t="s">
        <v>347</v>
      </c>
      <c r="D37" s="526"/>
      <c r="E37" s="526"/>
      <c r="F37" s="527"/>
      <c r="G37" s="262" t="s">
        <v>343</v>
      </c>
      <c r="H37" s="263">
        <v>25</v>
      </c>
      <c r="I37" s="273"/>
      <c r="J37" s="273"/>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73"/>
      <c r="AM37" s="273"/>
      <c r="AN37" s="273"/>
      <c r="AO37" s="273"/>
      <c r="AP37" s="273"/>
      <c r="AQ37" s="273"/>
      <c r="AR37" s="273"/>
      <c r="AS37" s="273"/>
      <c r="AT37" s="273"/>
      <c r="AU37" s="273"/>
      <c r="AV37" s="273"/>
      <c r="AW37" s="273"/>
      <c r="AX37" s="273"/>
      <c r="AY37" s="273"/>
      <c r="AZ37" s="273"/>
      <c r="BA37" s="273"/>
      <c r="BB37" s="273"/>
      <c r="BC37" s="273"/>
      <c r="BD37" s="273"/>
      <c r="BE37" s="273"/>
      <c r="BF37" s="273"/>
      <c r="BG37" s="273"/>
      <c r="BH37" s="273"/>
      <c r="BI37" s="273"/>
      <c r="BJ37" s="273"/>
    </row>
    <row r="38" spans="1:62" s="274" customFormat="1" x14ac:dyDescent="0.2">
      <c r="A38" s="269"/>
      <c r="B38" s="266">
        <v>6</v>
      </c>
      <c r="C38" s="525" t="s">
        <v>348</v>
      </c>
      <c r="D38" s="526"/>
      <c r="E38" s="526"/>
      <c r="F38" s="527"/>
      <c r="G38" s="262" t="s">
        <v>343</v>
      </c>
      <c r="H38" s="263">
        <v>15</v>
      </c>
      <c r="I38" s="273"/>
      <c r="J38" s="273"/>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73"/>
      <c r="AM38" s="273"/>
      <c r="AN38" s="273"/>
      <c r="AO38" s="273"/>
      <c r="AP38" s="273"/>
      <c r="AQ38" s="273"/>
      <c r="AR38" s="273"/>
      <c r="AS38" s="273"/>
      <c r="AT38" s="273"/>
      <c r="AU38" s="273"/>
      <c r="AV38" s="273"/>
      <c r="AW38" s="273"/>
      <c r="AX38" s="273"/>
      <c r="AY38" s="273"/>
      <c r="AZ38" s="273"/>
      <c r="BA38" s="273"/>
      <c r="BB38" s="273"/>
      <c r="BC38" s="273"/>
      <c r="BD38" s="273"/>
      <c r="BE38" s="273"/>
      <c r="BF38" s="273"/>
      <c r="BG38" s="273"/>
      <c r="BH38" s="273"/>
      <c r="BI38" s="273"/>
      <c r="BJ38" s="273"/>
    </row>
    <row r="39" spans="1:62" s="274" customFormat="1" x14ac:dyDescent="0.2">
      <c r="A39" s="269"/>
      <c r="B39" s="266">
        <v>7</v>
      </c>
      <c r="C39" s="525" t="s">
        <v>349</v>
      </c>
      <c r="D39" s="526"/>
      <c r="E39" s="526"/>
      <c r="F39" s="527"/>
      <c r="G39" s="262" t="s">
        <v>343</v>
      </c>
      <c r="H39" s="263">
        <v>225</v>
      </c>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73"/>
      <c r="AM39" s="273"/>
      <c r="AN39" s="273"/>
      <c r="AO39" s="273"/>
      <c r="AP39" s="273"/>
      <c r="AQ39" s="273"/>
      <c r="AR39" s="273"/>
      <c r="AS39" s="273"/>
      <c r="AT39" s="273"/>
      <c r="AU39" s="273"/>
      <c r="AV39" s="273"/>
      <c r="AW39" s="273"/>
      <c r="AX39" s="273"/>
      <c r="AY39" s="273"/>
      <c r="AZ39" s="273"/>
      <c r="BA39" s="273"/>
      <c r="BB39" s="273"/>
      <c r="BC39" s="273"/>
      <c r="BD39" s="273"/>
      <c r="BE39" s="273"/>
      <c r="BF39" s="273"/>
      <c r="BG39" s="273"/>
      <c r="BH39" s="273"/>
      <c r="BI39" s="273"/>
      <c r="BJ39" s="273"/>
    </row>
    <row r="40" spans="1:62" s="274" customFormat="1" x14ac:dyDescent="0.2">
      <c r="A40" s="269"/>
      <c r="B40" s="266">
        <v>8</v>
      </c>
      <c r="C40" s="525" t="s">
        <v>350</v>
      </c>
      <c r="D40" s="526"/>
      <c r="E40" s="526"/>
      <c r="F40" s="527"/>
      <c r="G40" s="262" t="s">
        <v>343</v>
      </c>
      <c r="H40" s="263">
        <v>15</v>
      </c>
      <c r="I40" s="273"/>
      <c r="J40" s="273"/>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73"/>
      <c r="AM40" s="273"/>
      <c r="AN40" s="273"/>
      <c r="AO40" s="273"/>
      <c r="AP40" s="273"/>
      <c r="AQ40" s="273"/>
      <c r="AR40" s="273"/>
      <c r="AS40" s="273"/>
      <c r="AT40" s="273"/>
      <c r="AU40" s="273"/>
      <c r="AV40" s="273"/>
      <c r="AW40" s="273"/>
      <c r="AX40" s="273"/>
      <c r="AY40" s="273"/>
      <c r="AZ40" s="273"/>
      <c r="BA40" s="273"/>
      <c r="BB40" s="273"/>
      <c r="BC40" s="273"/>
      <c r="BD40" s="273"/>
      <c r="BE40" s="273"/>
      <c r="BF40" s="273"/>
      <c r="BG40" s="273"/>
      <c r="BH40" s="273"/>
      <c r="BI40" s="273"/>
      <c r="BJ40" s="273"/>
    </row>
    <row r="41" spans="1:62" s="274" customFormat="1" x14ac:dyDescent="0.2">
      <c r="A41" s="269"/>
      <c r="B41" s="266">
        <v>9</v>
      </c>
      <c r="C41" s="525" t="s">
        <v>351</v>
      </c>
      <c r="D41" s="526"/>
      <c r="E41" s="526"/>
      <c r="F41" s="527"/>
      <c r="G41" s="262" t="s">
        <v>343</v>
      </c>
      <c r="H41" s="263">
        <v>60</v>
      </c>
      <c r="I41" s="273"/>
      <c r="J41" s="273"/>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73"/>
      <c r="AM41" s="273"/>
      <c r="AN41" s="273"/>
      <c r="AO41" s="273"/>
      <c r="AP41" s="273"/>
      <c r="AQ41" s="273"/>
      <c r="AR41" s="273"/>
      <c r="AS41" s="273"/>
      <c r="AT41" s="273"/>
      <c r="AU41" s="273"/>
      <c r="AV41" s="273"/>
      <c r="AW41" s="273"/>
      <c r="AX41" s="273"/>
      <c r="AY41" s="273"/>
      <c r="AZ41" s="273"/>
      <c r="BA41" s="273"/>
      <c r="BB41" s="273"/>
      <c r="BC41" s="273"/>
      <c r="BD41" s="273"/>
      <c r="BE41" s="273"/>
      <c r="BF41" s="273"/>
      <c r="BG41" s="273"/>
      <c r="BH41" s="273"/>
      <c r="BI41" s="273"/>
      <c r="BJ41" s="273"/>
    </row>
    <row r="42" spans="1:62" s="274" customFormat="1" x14ac:dyDescent="0.2">
      <c r="A42" s="269"/>
      <c r="B42" s="266">
        <v>10</v>
      </c>
      <c r="C42" s="525" t="s">
        <v>352</v>
      </c>
      <c r="D42" s="526"/>
      <c r="E42" s="526"/>
      <c r="F42" s="527"/>
      <c r="G42" s="262" t="s">
        <v>343</v>
      </c>
      <c r="H42" s="263">
        <v>30</v>
      </c>
      <c r="I42" s="273"/>
      <c r="J42" s="273"/>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73"/>
      <c r="AM42" s="273"/>
      <c r="AN42" s="273"/>
      <c r="AO42" s="273"/>
      <c r="AP42" s="273"/>
      <c r="AQ42" s="273"/>
      <c r="AR42" s="273"/>
      <c r="AS42" s="273"/>
      <c r="AT42" s="273"/>
      <c r="AU42" s="273"/>
      <c r="AV42" s="273"/>
      <c r="AW42" s="273"/>
      <c r="AX42" s="273"/>
      <c r="AY42" s="273"/>
      <c r="AZ42" s="273"/>
      <c r="BA42" s="273"/>
      <c r="BB42" s="273"/>
      <c r="BC42" s="273"/>
      <c r="BD42" s="273"/>
      <c r="BE42" s="273"/>
      <c r="BF42" s="273"/>
      <c r="BG42" s="273"/>
      <c r="BH42" s="273"/>
      <c r="BI42" s="273"/>
      <c r="BJ42" s="273"/>
    </row>
    <row r="43" spans="1:62" s="274" customFormat="1" x14ac:dyDescent="0.2">
      <c r="A43" s="269"/>
      <c r="B43" s="266">
        <v>11</v>
      </c>
      <c r="C43" s="525" t="s">
        <v>353</v>
      </c>
      <c r="D43" s="526"/>
      <c r="E43" s="526"/>
      <c r="F43" s="527"/>
      <c r="G43" s="262" t="s">
        <v>354</v>
      </c>
      <c r="H43" s="263">
        <v>16000</v>
      </c>
      <c r="I43" s="273"/>
      <c r="J43" s="273"/>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73"/>
      <c r="AM43" s="273"/>
      <c r="AN43" s="273"/>
      <c r="AO43" s="273"/>
      <c r="AP43" s="273"/>
      <c r="AQ43" s="273"/>
      <c r="AR43" s="273"/>
      <c r="AS43" s="273"/>
      <c r="AT43" s="273"/>
      <c r="AU43" s="273"/>
      <c r="AV43" s="273"/>
      <c r="AW43" s="273"/>
      <c r="AX43" s="273"/>
      <c r="AY43" s="273"/>
      <c r="AZ43" s="273"/>
      <c r="BA43" s="273"/>
      <c r="BB43" s="273"/>
      <c r="BC43" s="273"/>
      <c r="BD43" s="273"/>
      <c r="BE43" s="273"/>
      <c r="BF43" s="273"/>
      <c r="BG43" s="273"/>
      <c r="BH43" s="273"/>
      <c r="BI43" s="273"/>
      <c r="BJ43" s="273"/>
    </row>
    <row r="44" spans="1:62" s="274" customFormat="1" x14ac:dyDescent="0.2">
      <c r="A44" s="269"/>
      <c r="B44" s="266">
        <v>12</v>
      </c>
      <c r="C44" s="525" t="s">
        <v>355</v>
      </c>
      <c r="D44" s="526"/>
      <c r="E44" s="526"/>
      <c r="F44" s="527"/>
      <c r="G44" s="262" t="s">
        <v>343</v>
      </c>
      <c r="H44" s="263">
        <v>650</v>
      </c>
      <c r="I44" s="273"/>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73"/>
      <c r="AM44" s="273"/>
      <c r="AN44" s="273"/>
      <c r="AO44" s="273"/>
      <c r="AP44" s="273"/>
      <c r="AQ44" s="273"/>
      <c r="AR44" s="273"/>
      <c r="AS44" s="273"/>
      <c r="AT44" s="273"/>
      <c r="AU44" s="273"/>
      <c r="AV44" s="273"/>
      <c r="AW44" s="273"/>
      <c r="AX44" s="273"/>
      <c r="AY44" s="273"/>
      <c r="AZ44" s="273"/>
      <c r="BA44" s="273"/>
      <c r="BB44" s="273"/>
      <c r="BC44" s="273"/>
      <c r="BD44" s="273"/>
      <c r="BE44" s="273"/>
      <c r="BF44" s="273"/>
      <c r="BG44" s="273"/>
      <c r="BH44" s="273"/>
      <c r="BI44" s="273"/>
      <c r="BJ44" s="273"/>
    </row>
    <row r="45" spans="1:62" s="274" customFormat="1" x14ac:dyDescent="0.2">
      <c r="A45" s="269"/>
      <c r="B45" s="266">
        <v>13</v>
      </c>
      <c r="C45" s="525" t="s">
        <v>356</v>
      </c>
      <c r="D45" s="526"/>
      <c r="E45" s="526"/>
      <c r="F45" s="527"/>
      <c r="G45" s="262" t="s">
        <v>343</v>
      </c>
      <c r="H45" s="263">
        <v>1100</v>
      </c>
      <c r="I45" s="273"/>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c r="AT45" s="273"/>
      <c r="AU45" s="273"/>
      <c r="AV45" s="273"/>
      <c r="AW45" s="273"/>
      <c r="AX45" s="273"/>
      <c r="AY45" s="273"/>
      <c r="AZ45" s="273"/>
      <c r="BA45" s="273"/>
      <c r="BB45" s="273"/>
      <c r="BC45" s="273"/>
      <c r="BD45" s="273"/>
      <c r="BE45" s="273"/>
      <c r="BF45" s="273"/>
      <c r="BG45" s="273"/>
      <c r="BH45" s="273"/>
      <c r="BI45" s="273"/>
      <c r="BJ45" s="273"/>
    </row>
    <row r="46" spans="1:62" s="274" customFormat="1" x14ac:dyDescent="0.2">
      <c r="A46" s="269"/>
      <c r="B46" s="266">
        <v>14</v>
      </c>
      <c r="C46" s="525" t="s">
        <v>357</v>
      </c>
      <c r="D46" s="526"/>
      <c r="E46" s="526"/>
      <c r="F46" s="527"/>
      <c r="G46" s="262" t="s">
        <v>343</v>
      </c>
      <c r="H46" s="263">
        <v>1100</v>
      </c>
      <c r="I46" s="273"/>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73"/>
      <c r="AM46" s="273"/>
      <c r="AN46" s="273"/>
      <c r="AO46" s="273"/>
      <c r="AP46" s="273"/>
      <c r="AQ46" s="273"/>
      <c r="AR46" s="273"/>
      <c r="AS46" s="273"/>
      <c r="AT46" s="273"/>
      <c r="AU46" s="273"/>
      <c r="AV46" s="273"/>
      <c r="AW46" s="273"/>
      <c r="AX46" s="273"/>
      <c r="AY46" s="273"/>
      <c r="AZ46" s="273"/>
      <c r="BA46" s="273"/>
      <c r="BB46" s="273"/>
      <c r="BC46" s="273"/>
      <c r="BD46" s="273"/>
      <c r="BE46" s="273"/>
      <c r="BF46" s="273"/>
      <c r="BG46" s="273"/>
      <c r="BH46" s="273"/>
      <c r="BI46" s="273"/>
      <c r="BJ46" s="273"/>
    </row>
    <row r="47" spans="1:62" s="274" customFormat="1" x14ac:dyDescent="0.2">
      <c r="A47" s="269"/>
      <c r="B47" s="266">
        <v>15</v>
      </c>
      <c r="C47" s="525" t="s">
        <v>358</v>
      </c>
      <c r="D47" s="526"/>
      <c r="E47" s="526"/>
      <c r="F47" s="527"/>
      <c r="G47" s="262" t="s">
        <v>354</v>
      </c>
      <c r="H47" s="263">
        <v>3200</v>
      </c>
      <c r="I47" s="273"/>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73"/>
      <c r="AM47" s="273"/>
      <c r="AN47" s="273"/>
      <c r="AO47" s="273"/>
      <c r="AP47" s="273"/>
      <c r="AQ47" s="273"/>
      <c r="AR47" s="273"/>
      <c r="AS47" s="273"/>
      <c r="AT47" s="273"/>
      <c r="AU47" s="273"/>
      <c r="AV47" s="273"/>
      <c r="AW47" s="273"/>
      <c r="AX47" s="273"/>
      <c r="AY47" s="273"/>
      <c r="AZ47" s="273"/>
      <c r="BA47" s="273"/>
      <c r="BB47" s="273"/>
      <c r="BC47" s="273"/>
      <c r="BD47" s="273"/>
      <c r="BE47" s="273"/>
      <c r="BF47" s="273"/>
      <c r="BG47" s="273"/>
      <c r="BH47" s="273"/>
      <c r="BI47" s="273"/>
      <c r="BJ47" s="273"/>
    </row>
    <row r="48" spans="1:62" s="274" customFormat="1" x14ac:dyDescent="0.2">
      <c r="A48" s="269"/>
      <c r="B48" s="266">
        <v>16</v>
      </c>
      <c r="C48" s="525" t="s">
        <v>359</v>
      </c>
      <c r="D48" s="526"/>
      <c r="E48" s="526"/>
      <c r="F48" s="527"/>
      <c r="G48" s="262" t="s">
        <v>343</v>
      </c>
      <c r="H48" s="263">
        <v>2</v>
      </c>
      <c r="I48" s="273"/>
      <c r="J48" s="273"/>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73"/>
      <c r="AM48" s="273"/>
      <c r="AN48" s="273"/>
      <c r="AO48" s="273"/>
      <c r="AP48" s="273"/>
      <c r="AQ48" s="273"/>
      <c r="AR48" s="273"/>
      <c r="AS48" s="273"/>
      <c r="AT48" s="273"/>
      <c r="AU48" s="273"/>
      <c r="AV48" s="273"/>
      <c r="AW48" s="273"/>
      <c r="AX48" s="273"/>
      <c r="AY48" s="273"/>
      <c r="AZ48" s="273"/>
      <c r="BA48" s="273"/>
      <c r="BB48" s="273"/>
      <c r="BC48" s="273"/>
      <c r="BD48" s="273"/>
      <c r="BE48" s="273"/>
      <c r="BF48" s="273"/>
      <c r="BG48" s="273"/>
      <c r="BH48" s="273"/>
      <c r="BI48" s="273"/>
      <c r="BJ48" s="273"/>
    </row>
    <row r="49" spans="1:62" s="274" customFormat="1" x14ac:dyDescent="0.2">
      <c r="A49" s="269"/>
      <c r="B49" s="266">
        <v>17</v>
      </c>
      <c r="C49" s="525" t="s">
        <v>360</v>
      </c>
      <c r="D49" s="526"/>
      <c r="E49" s="526"/>
      <c r="F49" s="527"/>
      <c r="G49" s="262" t="s">
        <v>343</v>
      </c>
      <c r="H49" s="263">
        <v>1</v>
      </c>
      <c r="I49" s="273"/>
      <c r="J49" s="273"/>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73"/>
      <c r="AM49" s="273"/>
      <c r="AN49" s="273"/>
      <c r="AO49" s="273"/>
      <c r="AP49" s="273"/>
      <c r="AQ49" s="273"/>
      <c r="AR49" s="273"/>
      <c r="AS49" s="273"/>
      <c r="AT49" s="273"/>
      <c r="AU49" s="273"/>
      <c r="AV49" s="273"/>
      <c r="AW49" s="273"/>
      <c r="AX49" s="273"/>
      <c r="AY49" s="273"/>
      <c r="AZ49" s="273"/>
      <c r="BA49" s="273"/>
      <c r="BB49" s="273"/>
      <c r="BC49" s="273"/>
      <c r="BD49" s="273"/>
      <c r="BE49" s="273"/>
      <c r="BF49" s="273"/>
      <c r="BG49" s="273"/>
      <c r="BH49" s="273"/>
      <c r="BI49" s="273"/>
      <c r="BJ49" s="273"/>
    </row>
    <row r="50" spans="1:62" s="274" customFormat="1" x14ac:dyDescent="0.2">
      <c r="A50" s="269"/>
      <c r="B50" s="266">
        <v>18</v>
      </c>
      <c r="C50" s="525" t="s">
        <v>361</v>
      </c>
      <c r="D50" s="526"/>
      <c r="E50" s="526"/>
      <c r="F50" s="527"/>
      <c r="G50" s="262" t="s">
        <v>343</v>
      </c>
      <c r="H50" s="263">
        <v>1</v>
      </c>
      <c r="I50" s="273"/>
      <c r="J50" s="273"/>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73"/>
      <c r="AM50" s="273"/>
      <c r="AN50" s="273"/>
      <c r="AO50" s="273"/>
      <c r="AP50" s="273"/>
      <c r="AQ50" s="273"/>
      <c r="AR50" s="273"/>
      <c r="AS50" s="273"/>
      <c r="AT50" s="273"/>
      <c r="AU50" s="273"/>
      <c r="AV50" s="273"/>
      <c r="AW50" s="273"/>
      <c r="AX50" s="273"/>
      <c r="AY50" s="273"/>
      <c r="AZ50" s="273"/>
      <c r="BA50" s="273"/>
      <c r="BB50" s="273"/>
      <c r="BC50" s="273"/>
      <c r="BD50" s="273"/>
      <c r="BE50" s="273"/>
      <c r="BF50" s="273"/>
      <c r="BG50" s="273"/>
      <c r="BH50" s="273"/>
      <c r="BI50" s="273"/>
      <c r="BJ50" s="273"/>
    </row>
    <row r="51" spans="1:62" x14ac:dyDescent="0.2">
      <c r="B51" s="266">
        <v>19</v>
      </c>
      <c r="C51" s="525" t="s">
        <v>362</v>
      </c>
      <c r="D51" s="526"/>
      <c r="E51" s="526"/>
      <c r="F51" s="527"/>
      <c r="G51" s="267" t="s">
        <v>354</v>
      </c>
      <c r="H51" s="268">
        <v>32000</v>
      </c>
    </row>
    <row r="52" spans="1:62" x14ac:dyDescent="0.2">
      <c r="B52" s="266">
        <v>20</v>
      </c>
      <c r="C52" s="540" t="s">
        <v>363</v>
      </c>
      <c r="D52" s="526"/>
      <c r="E52" s="526"/>
      <c r="F52" s="527"/>
      <c r="G52" s="267" t="s">
        <v>354</v>
      </c>
      <c r="H52" s="268">
        <v>6500</v>
      </c>
    </row>
    <row r="53" spans="1:62" ht="17.25" thickBot="1" x14ac:dyDescent="0.25">
      <c r="B53" s="275">
        <v>21</v>
      </c>
      <c r="C53" s="541" t="s">
        <v>364</v>
      </c>
      <c r="D53" s="542"/>
      <c r="E53" s="542"/>
      <c r="F53" s="543"/>
      <c r="G53" s="276" t="s">
        <v>365</v>
      </c>
      <c r="H53" s="277">
        <v>1</v>
      </c>
    </row>
    <row r="54" spans="1:62" x14ac:dyDescent="0.2">
      <c r="B54" s="534" t="s">
        <v>224</v>
      </c>
      <c r="C54" s="535"/>
      <c r="D54" s="535"/>
      <c r="E54" s="535"/>
      <c r="F54" s="536"/>
      <c r="G54" s="278" t="s">
        <v>366</v>
      </c>
      <c r="H54" s="279" t="s">
        <v>367</v>
      </c>
    </row>
    <row r="55" spans="1:62" ht="17.25" thickBot="1" x14ac:dyDescent="0.25">
      <c r="B55" s="537"/>
      <c r="C55" s="538"/>
      <c r="D55" s="538"/>
      <c r="E55" s="538"/>
      <c r="F55" s="539"/>
      <c r="G55" s="282">
        <v>0</v>
      </c>
      <c r="H55" s="283">
        <f>G55*12</f>
        <v>0</v>
      </c>
      <c r="I55" s="259">
        <f>G55*12</f>
        <v>0</v>
      </c>
    </row>
  </sheetData>
  <mergeCells count="55">
    <mergeCell ref="B54:F55"/>
    <mergeCell ref="C48:F48"/>
    <mergeCell ref="C49:F49"/>
    <mergeCell ref="C50:F50"/>
    <mergeCell ref="C51:F51"/>
    <mergeCell ref="C52:F52"/>
    <mergeCell ref="C53:F53"/>
    <mergeCell ref="C47:F47"/>
    <mergeCell ref="C36:F36"/>
    <mergeCell ref="C37:F37"/>
    <mergeCell ref="C38:F38"/>
    <mergeCell ref="C39:F39"/>
    <mergeCell ref="C40:F40"/>
    <mergeCell ref="C41:F41"/>
    <mergeCell ref="C42:F42"/>
    <mergeCell ref="C43:F43"/>
    <mergeCell ref="C44:F44"/>
    <mergeCell ref="C45:F45"/>
    <mergeCell ref="C46:F46"/>
    <mergeCell ref="C35:F35"/>
    <mergeCell ref="C24:F24"/>
    <mergeCell ref="C25:F25"/>
    <mergeCell ref="C26:F26"/>
    <mergeCell ref="C27:F27"/>
    <mergeCell ref="C28:F28"/>
    <mergeCell ref="C29:F29"/>
    <mergeCell ref="C30:F30"/>
    <mergeCell ref="B31:H31"/>
    <mergeCell ref="C32:F32"/>
    <mergeCell ref="C33:F33"/>
    <mergeCell ref="C34:F34"/>
    <mergeCell ref="C23:F23"/>
    <mergeCell ref="C12:F12"/>
    <mergeCell ref="C13:F13"/>
    <mergeCell ref="C14:F14"/>
    <mergeCell ref="C15:F15"/>
    <mergeCell ref="C16:F16"/>
    <mergeCell ref="C17:F17"/>
    <mergeCell ref="C18:F18"/>
    <mergeCell ref="C19:F19"/>
    <mergeCell ref="C20:F20"/>
    <mergeCell ref="C21:F21"/>
    <mergeCell ref="C22:F22"/>
    <mergeCell ref="C11:F11"/>
    <mergeCell ref="B1:H1"/>
    <mergeCell ref="B2:E2"/>
    <mergeCell ref="F2:H2"/>
    <mergeCell ref="B3:H3"/>
    <mergeCell ref="C4:F4"/>
    <mergeCell ref="C5:F5"/>
    <mergeCell ref="C6:F6"/>
    <mergeCell ref="C7:F7"/>
    <mergeCell ref="C8:F8"/>
    <mergeCell ref="C9:F9"/>
    <mergeCell ref="C10:F10"/>
  </mergeCells>
  <pageMargins left="0.511811024" right="0.511811024" top="0.78740157499999996" bottom="0.78740157499999996" header="0.31496062000000002" footer="0.31496062000000002"/>
  <pageSetup paperSize="9" scale="7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19</vt:i4>
      </vt:variant>
      <vt:variant>
        <vt:lpstr>Intervalos nomeados</vt:lpstr>
      </vt:variant>
      <vt:variant>
        <vt:i4>18</vt:i4>
      </vt:variant>
    </vt:vector>
  </HeadingPairs>
  <TitlesOfParts>
    <vt:vector size="37" baseType="lpstr">
      <vt:lpstr>Observações</vt:lpstr>
      <vt:lpstr>Insumos Gerais</vt:lpstr>
      <vt:lpstr>G-I - Vigia DIU desarm</vt:lpstr>
      <vt:lpstr>G-I - Vigia DIU Arm BICICLETA</vt:lpstr>
      <vt:lpstr>G-I - Vigia DIU arm-cond MOTO</vt:lpstr>
      <vt:lpstr>G-I - Vigia DIU arm-cond CARRO</vt:lpstr>
      <vt:lpstr>G-I - Vigia DIU arm</vt:lpstr>
      <vt:lpstr>G-I - Vigia DIU Líder arm</vt:lpstr>
      <vt:lpstr>G-I - Supervisor DIU Desarm</vt:lpstr>
      <vt:lpstr>G-I - Vigia NOT desarm</vt:lpstr>
      <vt:lpstr>G-I - Vigia NOT arm-cond MOTO</vt:lpstr>
      <vt:lpstr>G-I - Vigia NOT arm-cond CARRO</vt:lpstr>
      <vt:lpstr>G-I - Vigia NOT arm</vt:lpstr>
      <vt:lpstr>G-I - Vigia NOT Líder arm</vt:lpstr>
      <vt:lpstr>G-I - Supervisor NOT Desarm</vt:lpstr>
      <vt:lpstr>G-II - Vigia OP MONITORA DIU</vt:lpstr>
      <vt:lpstr>G-II - Vigia OP MONITORA NOT</vt:lpstr>
      <vt:lpstr>Estimativa M.O. LICITANTE</vt:lpstr>
      <vt:lpstr>G-III - SIST VIG ELETRÔNICA</vt:lpstr>
      <vt:lpstr>'Estimativa M.O. LICITANTE'!Area_de_impressao</vt:lpstr>
      <vt:lpstr>'G-I - Supervisor DIU Desarm'!Area_de_impressao</vt:lpstr>
      <vt:lpstr>'G-I - Supervisor NOT Desarm'!Area_de_impressao</vt:lpstr>
      <vt:lpstr>'G-I - Vigia DIU arm'!Area_de_impressao</vt:lpstr>
      <vt:lpstr>'G-I - Vigia DIU Arm BICICLETA'!Area_de_impressao</vt:lpstr>
      <vt:lpstr>'G-I - Vigia DIU arm-cond CARRO'!Area_de_impressao</vt:lpstr>
      <vt:lpstr>'G-I - Vigia DIU arm-cond MOTO'!Area_de_impressao</vt:lpstr>
      <vt:lpstr>'G-I - Vigia DIU desarm'!Area_de_impressao</vt:lpstr>
      <vt:lpstr>'G-I - Vigia DIU Líder arm'!Area_de_impressao</vt:lpstr>
      <vt:lpstr>'G-I - Vigia NOT arm'!Area_de_impressao</vt:lpstr>
      <vt:lpstr>'G-I - Vigia NOT arm-cond CARRO'!Area_de_impressao</vt:lpstr>
      <vt:lpstr>'G-I - Vigia NOT arm-cond MOTO'!Area_de_impressao</vt:lpstr>
      <vt:lpstr>'G-I - Vigia NOT desarm'!Area_de_impressao</vt:lpstr>
      <vt:lpstr>'G-I - Vigia NOT Líder arm'!Area_de_impressao</vt:lpstr>
      <vt:lpstr>'G-II - Vigia OP MONITORA DIU'!Area_de_impressao</vt:lpstr>
      <vt:lpstr>'G-II - Vigia OP MONITORA NOT'!Area_de_impressao</vt:lpstr>
      <vt:lpstr>'G-III - SIST VIG ELETRÔNICA'!Area_de_impressao</vt:lpstr>
      <vt:lpstr>'Insumos Gerais'!Area_de_impressao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Ricardo Yutaka Yamada</cp:lastModifiedBy>
  <cp:lastPrinted>2024-12-09T14:41:51Z</cp:lastPrinted>
  <dcterms:created xsi:type="dcterms:W3CDTF">2013-10-22T12:23:02Z</dcterms:created>
  <dcterms:modified xsi:type="dcterms:W3CDTF">2025-06-12T12:39:50Z</dcterms:modified>
</cp:coreProperties>
</file>