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drawings/drawing2.xml" ContentType="application/vnd.openxmlformats-officedocument.drawing+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firstSheet="13" activeTab="21"/>
  </bookViews>
  <sheets>
    <sheet name="Observações" sheetId="126" r:id="rId1"/>
    <sheet name="Uniformes e EPI's" sheetId="158" r:id="rId2"/>
    <sheet name="Insumos Diversos" sheetId="190" r:id="rId3"/>
    <sheet name="Agente de Higienização_CEARA" sheetId="99" r:id="rId4"/>
    <sheet name="Jardineiro_CEARA" sheetId="148" r:id="rId5"/>
    <sheet name="Ajud. de Serv. Diversos_CEARA" sheetId="172" r:id="rId6"/>
    <sheet name="Quadro Resumo M² - CEARA" sheetId="165" r:id="rId7"/>
    <sheet name="Agente de Higienização_CEBAU" sheetId="173" r:id="rId8"/>
    <sheet name="Jardineiro_CEBAU" sheetId="174" r:id="rId9"/>
    <sheet name="Tratorista_CEBAU" sheetId="178" r:id="rId10"/>
    <sheet name="Ajud. de Serv. Diversos_CEBAU" sheetId="175" r:id="rId11"/>
    <sheet name="Encarregado_CEBAU" sheetId="176" r:id="rId12"/>
    <sheet name="Quadro Resumo M² - CEBAU" sheetId="177" r:id="rId13"/>
    <sheet name="Agente de Higienização_CERIB" sheetId="180" r:id="rId14"/>
    <sheet name="Jardineiro_CERIB" sheetId="181" r:id="rId15"/>
    <sheet name="Tratorista_CERIB" sheetId="182" r:id="rId16"/>
    <sheet name="Ajudante de Tratorista_CERIB" sheetId="183" r:id="rId17"/>
    <sheet name="Buerista_CERIB" sheetId="184" r:id="rId18"/>
    <sheet name="Ajud. de Serv. Diversos_CERIB" sheetId="185" r:id="rId19"/>
    <sheet name="Encarregado_CERIB" sheetId="186" r:id="rId20"/>
    <sheet name="Quadro Resumo M² - CERIB" sheetId="187" r:id="rId21"/>
    <sheet name="Quadro Resumo Geral M²" sheetId="189" r:id="rId22"/>
  </sheets>
  <externalReferences>
    <externalReference r:id="rId23"/>
  </externalReferences>
  <definedNames>
    <definedName name="_xlnm.Print_Area" localSheetId="3">'Agente de Higienização_CEARA'!$A$1:$G$140</definedName>
    <definedName name="_xlnm.Print_Area" localSheetId="7">'Agente de Higienização_CEBAU'!$A$1:$G$140</definedName>
    <definedName name="_xlnm.Print_Area" localSheetId="13">'Agente de Higienização_CERIB'!$A$1:$G$140</definedName>
    <definedName name="_xlnm.Print_Area" localSheetId="5">'Ajud. de Serv. Diversos_CEARA'!$A$1:$G$143</definedName>
    <definedName name="_xlnm.Print_Area" localSheetId="10">'Ajud. de Serv. Diversos_CEBAU'!$A$1:$G$143</definedName>
    <definedName name="_xlnm.Print_Area" localSheetId="18">'Ajud. de Serv. Diversos_CERIB'!$A$1:$G$143</definedName>
    <definedName name="_xlnm.Print_Area" localSheetId="16">'Ajudante de Tratorista_CERIB'!$A$1:$G$140</definedName>
    <definedName name="_xlnm.Print_Area" localSheetId="17">Buerista_CERIB!$A$1:$G$140</definedName>
    <definedName name="_xlnm.Print_Area" localSheetId="11">Encarregado_CEBAU!$A$1:$G$140</definedName>
    <definedName name="_xlnm.Print_Area" localSheetId="19">Encarregado_CERIB!$A$1:$G$140</definedName>
    <definedName name="_xlnm.Print_Area" localSheetId="2">'Insumos Diversos'!$A$1:$I$145</definedName>
    <definedName name="_xlnm.Print_Area" localSheetId="4">Jardineiro_CEARA!$A$1:$G$140</definedName>
    <definedName name="_xlnm.Print_Area" localSheetId="8">Jardineiro_CEBAU!$A$1:$G$140</definedName>
    <definedName name="_xlnm.Print_Area" localSheetId="14">Jardineiro_CERIB!$A$1:$G$140</definedName>
    <definedName name="_xlnm.Print_Area" localSheetId="21">'Quadro Resumo Geral M²'!$B$1:$G$84</definedName>
    <definedName name="_xlnm.Print_Area" localSheetId="6">'Quadro Resumo M² - CEARA'!$B$1:$H$72</definedName>
    <definedName name="_xlnm.Print_Area" localSheetId="12">'Quadro Resumo M² - CEBAU'!$B$1:$H$82</definedName>
    <definedName name="_xlnm.Print_Area" localSheetId="20">'Quadro Resumo M² - CERIB'!$B$1:$H$88</definedName>
    <definedName name="_xlnm.Print_Area" localSheetId="9">Tratorista_CEBAU!$A$1:$G$140</definedName>
    <definedName name="_xlnm.Print_Area" localSheetId="15">Tratorista_CERIB!$A$1:$G$140</definedName>
    <definedName name="_xlnm.Print_Area" localSheetId="1">'Uniformes e EPI''s'!$A$1:$I$39</definedName>
    <definedName name="EQUIPTOS" localSheetId="7">'[1]Equipamentos e material'!#REF!</definedName>
    <definedName name="EQUIPTOS" localSheetId="13">'[1]Equipamentos e material'!#REF!</definedName>
    <definedName name="EQUIPTOS" localSheetId="10">'[1]Equipamentos e material'!#REF!</definedName>
    <definedName name="EQUIPTOS" localSheetId="18">'[1]Equipamentos e material'!#REF!</definedName>
    <definedName name="EQUIPTOS" localSheetId="16">'[1]Equipamentos e material'!#REF!</definedName>
    <definedName name="EQUIPTOS" localSheetId="17">'[1]Equipamentos e material'!#REF!</definedName>
    <definedName name="EQUIPTOS" localSheetId="11">'[1]Equipamentos e material'!#REF!</definedName>
    <definedName name="EQUIPTOS" localSheetId="19">'[1]Equipamentos e material'!#REF!</definedName>
    <definedName name="EQUIPTOS" localSheetId="2">'[1]Equipamentos e material'!#REF!</definedName>
    <definedName name="EQUIPTOS" localSheetId="4">'[1]Equipamentos e material'!#REF!</definedName>
    <definedName name="EQUIPTOS" localSheetId="8">'[1]Equipamentos e material'!#REF!</definedName>
    <definedName name="EQUIPTOS" localSheetId="14">'[1]Equipamentos e material'!#REF!</definedName>
    <definedName name="EQUIPTOS" localSheetId="6">'[1]Equipamentos e material'!#REF!</definedName>
    <definedName name="EQUIPTOS" localSheetId="12">'[1]Equipamentos e material'!#REF!</definedName>
    <definedName name="EQUIPTOS" localSheetId="20">'[1]Equipamentos e material'!#REF!</definedName>
    <definedName name="EQUIPTOS" localSheetId="9">'[1]Equipamentos e material'!#REF!</definedName>
    <definedName name="EQUIPTOS" localSheetId="15">'[1]Equipamentos e material'!#REF!</definedName>
    <definedName name="EQUIPTOS">'[1]Equipamentos e material'!#REF!</definedName>
    <definedName name="Excel_BuiltIn_Print_Area_1" localSheetId="7">#REF!</definedName>
    <definedName name="Excel_BuiltIn_Print_Area_1" localSheetId="13">#REF!</definedName>
    <definedName name="Excel_BuiltIn_Print_Area_1" localSheetId="10">#REF!</definedName>
    <definedName name="Excel_BuiltIn_Print_Area_1" localSheetId="18">#REF!</definedName>
    <definedName name="Excel_BuiltIn_Print_Area_1" localSheetId="16">#REF!</definedName>
    <definedName name="Excel_BuiltIn_Print_Area_1" localSheetId="17">#REF!</definedName>
    <definedName name="Excel_BuiltIn_Print_Area_1" localSheetId="11">#REF!</definedName>
    <definedName name="Excel_BuiltIn_Print_Area_1" localSheetId="19">#REF!</definedName>
    <definedName name="Excel_BuiltIn_Print_Area_1" localSheetId="2">#REF!</definedName>
    <definedName name="Excel_BuiltIn_Print_Area_1" localSheetId="4">#REF!</definedName>
    <definedName name="Excel_BuiltIn_Print_Area_1" localSheetId="8">#REF!</definedName>
    <definedName name="Excel_BuiltIn_Print_Area_1" localSheetId="14">#REF!</definedName>
    <definedName name="Excel_BuiltIn_Print_Area_1" localSheetId="6">#REF!</definedName>
    <definedName name="Excel_BuiltIn_Print_Area_1" localSheetId="12">#REF!</definedName>
    <definedName name="Excel_BuiltIn_Print_Area_1" localSheetId="20">#REF!</definedName>
    <definedName name="Excel_BuiltIn_Print_Area_1" localSheetId="9">#REF!</definedName>
    <definedName name="Excel_BuiltIn_Print_Area_1" localSheetId="15">#REF!</definedName>
    <definedName name="Excel_BuiltIn_Print_Area_1">#REF!</definedName>
    <definedName name="Excel_BuiltIn_Print_Area_2" localSheetId="7">#REF!</definedName>
    <definedName name="Excel_BuiltIn_Print_Area_2" localSheetId="13">#REF!</definedName>
    <definedName name="Excel_BuiltIn_Print_Area_2" localSheetId="10">#REF!</definedName>
    <definedName name="Excel_BuiltIn_Print_Area_2" localSheetId="18">#REF!</definedName>
    <definedName name="Excel_BuiltIn_Print_Area_2" localSheetId="16">#REF!</definedName>
    <definedName name="Excel_BuiltIn_Print_Area_2" localSheetId="17">#REF!</definedName>
    <definedName name="Excel_BuiltIn_Print_Area_2" localSheetId="11">#REF!</definedName>
    <definedName name="Excel_BuiltIn_Print_Area_2" localSheetId="19">#REF!</definedName>
    <definedName name="Excel_BuiltIn_Print_Area_2" localSheetId="2">#REF!</definedName>
    <definedName name="Excel_BuiltIn_Print_Area_2" localSheetId="4">#REF!</definedName>
    <definedName name="Excel_BuiltIn_Print_Area_2" localSheetId="8">#REF!</definedName>
    <definedName name="Excel_BuiltIn_Print_Area_2" localSheetId="14">#REF!</definedName>
    <definedName name="Excel_BuiltIn_Print_Area_2" localSheetId="6">#REF!</definedName>
    <definedName name="Excel_BuiltIn_Print_Area_2" localSheetId="12">#REF!</definedName>
    <definedName name="Excel_BuiltIn_Print_Area_2" localSheetId="20">#REF!</definedName>
    <definedName name="Excel_BuiltIn_Print_Area_2" localSheetId="9">#REF!</definedName>
    <definedName name="Excel_BuiltIn_Print_Area_2" localSheetId="15">#REF!</definedName>
    <definedName name="Excel_BuiltIn_Print_Area_2">#REF!</definedName>
  </definedNames>
  <calcPr calcId="152511" iterate="1" fullPrecision="0"/>
</workbook>
</file>

<file path=xl/calcChain.xml><?xml version="1.0" encoding="utf-8"?>
<calcChain xmlns="http://schemas.openxmlformats.org/spreadsheetml/2006/main">
  <c r="I38" i="158" l="1"/>
  <c r="G38" i="158"/>
  <c r="E38" i="158"/>
  <c r="F98" i="148" l="1"/>
  <c r="F98" i="172"/>
  <c r="F98" i="173"/>
  <c r="F98" i="174"/>
  <c r="F98" i="178"/>
  <c r="F98" i="175"/>
  <c r="F98" i="176"/>
  <c r="F98" i="180"/>
  <c r="F98" i="181"/>
  <c r="F98" i="182"/>
  <c r="F98" i="183"/>
  <c r="F98" i="184"/>
  <c r="F98" i="185"/>
  <c r="F98" i="186"/>
  <c r="F98" i="99"/>
  <c r="F90" i="172"/>
  <c r="F90" i="175"/>
  <c r="F90" i="185"/>
  <c r="F88" i="148"/>
  <c r="F88" i="172"/>
  <c r="F88" i="173"/>
  <c r="F88" i="174"/>
  <c r="F88" i="178"/>
  <c r="F88" i="175"/>
  <c r="F88" i="176"/>
  <c r="F88" i="180"/>
  <c r="F88" i="181"/>
  <c r="F88" i="182"/>
  <c r="F88" i="183"/>
  <c r="F88" i="184"/>
  <c r="F88" i="185"/>
  <c r="F88" i="186"/>
  <c r="F88" i="99"/>
  <c r="F85" i="148"/>
  <c r="F85" i="172"/>
  <c r="F85" i="173"/>
  <c r="F85" i="174"/>
  <c r="F85" i="178"/>
  <c r="F85" i="175"/>
  <c r="F85" i="176"/>
  <c r="F85" i="180"/>
  <c r="F85" i="181"/>
  <c r="F85" i="182"/>
  <c r="F85" i="183"/>
  <c r="F85" i="184"/>
  <c r="F85" i="185"/>
  <c r="F85" i="186"/>
  <c r="F85" i="99"/>
  <c r="F83" i="148"/>
  <c r="F83" i="172"/>
  <c r="F83" i="173"/>
  <c r="F83" i="174"/>
  <c r="F83" i="178"/>
  <c r="F83" i="175"/>
  <c r="F83" i="176"/>
  <c r="F83" i="180"/>
  <c r="F83" i="181"/>
  <c r="F83" i="182"/>
  <c r="F83" i="183"/>
  <c r="F83" i="184"/>
  <c r="F83" i="185"/>
  <c r="F83" i="186"/>
  <c r="F83" i="99"/>
  <c r="F82" i="148"/>
  <c r="F82" i="172"/>
  <c r="F82" i="173"/>
  <c r="F82" i="174"/>
  <c r="F82" i="178"/>
  <c r="F82" i="175"/>
  <c r="F82" i="176"/>
  <c r="F82" i="180"/>
  <c r="F82" i="181"/>
  <c r="F82" i="182"/>
  <c r="F82" i="183"/>
  <c r="F82" i="184"/>
  <c r="F82" i="185"/>
  <c r="F82" i="186"/>
  <c r="F82" i="99"/>
  <c r="F81" i="148"/>
  <c r="F81" i="172"/>
  <c r="F81" i="173"/>
  <c r="F81" i="174"/>
  <c r="F81" i="178"/>
  <c r="F81" i="175"/>
  <c r="F81" i="176"/>
  <c r="F81" i="180"/>
  <c r="F81" i="181"/>
  <c r="F81" i="182"/>
  <c r="F81" i="183"/>
  <c r="F81" i="184"/>
  <c r="F81" i="185"/>
  <c r="F81" i="186"/>
  <c r="F81" i="99"/>
  <c r="F74" i="148"/>
  <c r="F74" i="172"/>
  <c r="F74" i="173"/>
  <c r="F74" i="174"/>
  <c r="F74" i="178"/>
  <c r="F74" i="175"/>
  <c r="F74" i="176"/>
  <c r="F74" i="180"/>
  <c r="F74" i="181"/>
  <c r="F74" i="182"/>
  <c r="F74" i="183"/>
  <c r="F74" i="184"/>
  <c r="F74" i="185"/>
  <c r="F74" i="186"/>
  <c r="F74" i="99"/>
  <c r="F73" i="148"/>
  <c r="F73" i="172"/>
  <c r="F73" i="173"/>
  <c r="F73" i="174"/>
  <c r="F73" i="178"/>
  <c r="F73" i="175"/>
  <c r="F73" i="176"/>
  <c r="F73" i="180"/>
  <c r="F73" i="181"/>
  <c r="F73" i="182"/>
  <c r="F73" i="183"/>
  <c r="F73" i="184"/>
  <c r="F73" i="185"/>
  <c r="F73" i="186"/>
  <c r="F73" i="99"/>
  <c r="F71" i="148"/>
  <c r="F71" i="172"/>
  <c r="F71" i="173"/>
  <c r="F71" i="174"/>
  <c r="F71" i="178"/>
  <c r="F71" i="175"/>
  <c r="F71" i="176"/>
  <c r="F71" i="180"/>
  <c r="F71" i="181"/>
  <c r="F71" i="182"/>
  <c r="F71" i="183"/>
  <c r="F71" i="184"/>
  <c r="F71" i="185"/>
  <c r="F71" i="186"/>
  <c r="F71" i="99"/>
  <c r="E57" i="148"/>
  <c r="E57" i="172"/>
  <c r="E57" i="173"/>
  <c r="E57" i="174"/>
  <c r="E57" i="178"/>
  <c r="E57" i="175"/>
  <c r="E57" i="176"/>
  <c r="E57" i="180"/>
  <c r="E57" i="181"/>
  <c r="E57" i="182"/>
  <c r="E57" i="183"/>
  <c r="E57" i="184"/>
  <c r="E57" i="185"/>
  <c r="E57" i="186"/>
  <c r="E57" i="99"/>
  <c r="I99" i="190"/>
  <c r="I100" i="190"/>
  <c r="I101" i="190"/>
  <c r="I102" i="190"/>
  <c r="I98" i="190"/>
  <c r="G99" i="190"/>
  <c r="G100" i="190"/>
  <c r="G101" i="190"/>
  <c r="G102" i="190"/>
  <c r="E99" i="190"/>
  <c r="E100" i="190"/>
  <c r="E101" i="190"/>
  <c r="E102" i="190"/>
  <c r="E98" i="190"/>
  <c r="E7" i="158"/>
  <c r="E59" i="172" l="1"/>
  <c r="E59" i="99"/>
  <c r="E58" i="172"/>
  <c r="E58" i="99"/>
  <c r="E54" i="172"/>
  <c r="E54" i="99"/>
  <c r="E59" i="175"/>
  <c r="E59" i="173"/>
  <c r="E58" i="175"/>
  <c r="E58" i="173"/>
  <c r="E54" i="175"/>
  <c r="E54" i="173"/>
  <c r="E59" i="185"/>
  <c r="E59" i="180"/>
  <c r="E58" i="185"/>
  <c r="E58" i="180"/>
  <c r="E54" i="185"/>
  <c r="E54" i="180"/>
  <c r="F13" i="187" l="1"/>
  <c r="B29" i="187"/>
  <c r="F14" i="187"/>
  <c r="F15" i="187"/>
  <c r="F16" i="187"/>
  <c r="F17" i="187"/>
  <c r="B79" i="187" l="1"/>
  <c r="C56" i="187" l="1"/>
  <c r="C35" i="187"/>
  <c r="C34" i="187"/>
  <c r="C41" i="187"/>
  <c r="C45" i="187"/>
  <c r="C44" i="187"/>
  <c r="C64" i="187"/>
  <c r="B73" i="177"/>
  <c r="B63" i="165"/>
  <c r="C62" i="187" l="1"/>
  <c r="C63" i="187"/>
  <c r="C61" i="187"/>
  <c r="C49" i="187"/>
  <c r="C48" i="187"/>
  <c r="C40" i="187"/>
  <c r="C39" i="187"/>
  <c r="C44" i="177"/>
  <c r="C43" i="177"/>
  <c r="C36" i="177"/>
  <c r="C35" i="177"/>
  <c r="C47" i="165"/>
  <c r="C30" i="177" l="1"/>
  <c r="C31" i="177"/>
  <c r="C36" i="165"/>
  <c r="C33" i="165"/>
  <c r="C30" i="165"/>
  <c r="C57" i="177"/>
  <c r="C56" i="177"/>
  <c r="C51" i="177"/>
  <c r="C48" i="165"/>
  <c r="I118" i="190" l="1"/>
  <c r="I119" i="190"/>
  <c r="I120" i="190"/>
  <c r="I117" i="190"/>
  <c r="I116" i="190"/>
  <c r="G118" i="190"/>
  <c r="G119" i="190"/>
  <c r="G120" i="190"/>
  <c r="G117" i="190"/>
  <c r="G116" i="190"/>
  <c r="E118" i="190"/>
  <c r="E119" i="190"/>
  <c r="E120" i="190"/>
  <c r="E117" i="190"/>
  <c r="E116" i="190"/>
  <c r="I109" i="190"/>
  <c r="I110" i="190"/>
  <c r="I111" i="190"/>
  <c r="I108" i="190"/>
  <c r="I107" i="190"/>
  <c r="G109" i="190"/>
  <c r="G110" i="190"/>
  <c r="G111" i="190"/>
  <c r="G108" i="190"/>
  <c r="G107" i="190"/>
  <c r="E109" i="190"/>
  <c r="E110" i="190"/>
  <c r="E111" i="190"/>
  <c r="E107" i="190"/>
  <c r="E108" i="190"/>
  <c r="E121" i="190" l="1"/>
  <c r="E112" i="190"/>
  <c r="G121" i="190"/>
  <c r="I121" i="190"/>
  <c r="I112" i="190"/>
  <c r="G112" i="190"/>
  <c r="C58" i="177" l="1"/>
  <c r="C50" i="177" l="1"/>
  <c r="C40" i="177"/>
  <c r="C39" i="177"/>
  <c r="C42" i="165" l="1"/>
  <c r="C26" i="165"/>
  <c r="B109" i="186" l="1"/>
  <c r="B108" i="186"/>
  <c r="B109" i="185"/>
  <c r="B108" i="185"/>
  <c r="B109" i="184" l="1"/>
  <c r="B108" i="184"/>
  <c r="G111" i="184"/>
  <c r="G112" i="184"/>
  <c r="G113" i="184"/>
  <c r="G114" i="184"/>
  <c r="G115" i="184"/>
  <c r="B109" i="183"/>
  <c r="B108" i="183"/>
  <c r="G111" i="183"/>
  <c r="G112" i="183"/>
  <c r="G113" i="183"/>
  <c r="G114" i="183"/>
  <c r="G115" i="183"/>
  <c r="B109" i="182"/>
  <c r="B108" i="182"/>
  <c r="G111" i="182"/>
  <c r="G112" i="182"/>
  <c r="G113" i="182"/>
  <c r="G114" i="182"/>
  <c r="G115" i="182"/>
  <c r="B109" i="181"/>
  <c r="B108" i="181"/>
  <c r="G115" i="181"/>
  <c r="G111" i="181"/>
  <c r="G112" i="181"/>
  <c r="G113" i="181"/>
  <c r="G114" i="181"/>
  <c r="B109" i="180"/>
  <c r="B108" i="180"/>
  <c r="B48" i="189" l="1"/>
  <c r="B46" i="189"/>
  <c r="B45" i="189"/>
  <c r="B44" i="189"/>
  <c r="B109" i="176"/>
  <c r="B108" i="176"/>
  <c r="B109" i="175"/>
  <c r="B108" i="175"/>
  <c r="B109" i="178"/>
  <c r="B108" i="178"/>
  <c r="G111" i="178"/>
  <c r="G112" i="178"/>
  <c r="G113" i="178"/>
  <c r="G114" i="178"/>
  <c r="G115" i="178"/>
  <c r="B109" i="174"/>
  <c r="B108" i="174"/>
  <c r="B109" i="173"/>
  <c r="B108" i="173"/>
  <c r="B109" i="172" l="1"/>
  <c r="B108" i="172"/>
  <c r="B109" i="148"/>
  <c r="B108" i="148"/>
  <c r="G111" i="99"/>
  <c r="G112" i="99"/>
  <c r="G113" i="99"/>
  <c r="G114" i="99"/>
  <c r="G115" i="99"/>
  <c r="B109" i="99"/>
  <c r="B108" i="99"/>
  <c r="I133" i="190" l="1"/>
  <c r="G133" i="190"/>
  <c r="E133" i="190"/>
  <c r="I132" i="190"/>
  <c r="G132" i="190"/>
  <c r="E132" i="190"/>
  <c r="I131" i="190"/>
  <c r="G131" i="190"/>
  <c r="E131" i="190"/>
  <c r="I130" i="190"/>
  <c r="G130" i="190"/>
  <c r="E130" i="190"/>
  <c r="I129" i="190"/>
  <c r="G129" i="190"/>
  <c r="E129" i="190"/>
  <c r="I128" i="190"/>
  <c r="G128" i="190"/>
  <c r="E128" i="190"/>
  <c r="I127" i="190"/>
  <c r="G127" i="190"/>
  <c r="E127" i="190"/>
  <c r="I126" i="190"/>
  <c r="G126" i="190"/>
  <c r="E126" i="190"/>
  <c r="I125" i="190"/>
  <c r="G125" i="190"/>
  <c r="E125" i="190"/>
  <c r="G98" i="190"/>
  <c r="I93" i="190"/>
  <c r="G93" i="190"/>
  <c r="E93" i="190"/>
  <c r="I92" i="190"/>
  <c r="G92" i="190"/>
  <c r="E92" i="190"/>
  <c r="I91" i="190"/>
  <c r="G91" i="190"/>
  <c r="E91" i="190"/>
  <c r="I90" i="190"/>
  <c r="G90" i="190"/>
  <c r="E90" i="190"/>
  <c r="I89" i="190"/>
  <c r="G89" i="190"/>
  <c r="E89" i="190"/>
  <c r="I88" i="190"/>
  <c r="G88" i="190"/>
  <c r="E88" i="190"/>
  <c r="I87" i="190"/>
  <c r="G87" i="190"/>
  <c r="E87" i="190"/>
  <c r="I86" i="190"/>
  <c r="G86" i="190"/>
  <c r="E86" i="190"/>
  <c r="I85" i="190"/>
  <c r="G85" i="190"/>
  <c r="E85" i="190"/>
  <c r="I84" i="190"/>
  <c r="G84" i="190"/>
  <c r="E84" i="190"/>
  <c r="I83" i="190"/>
  <c r="G83" i="190"/>
  <c r="E83" i="190"/>
  <c r="I82" i="190"/>
  <c r="G82" i="190"/>
  <c r="E82" i="190"/>
  <c r="I81" i="190"/>
  <c r="G81" i="190"/>
  <c r="E81" i="190"/>
  <c r="I80" i="190"/>
  <c r="G80" i="190"/>
  <c r="E80" i="190"/>
  <c r="I79" i="190"/>
  <c r="G79" i="190"/>
  <c r="E79" i="190"/>
  <c r="I78" i="190"/>
  <c r="G78" i="190"/>
  <c r="E78" i="190"/>
  <c r="I77" i="190"/>
  <c r="G77" i="190"/>
  <c r="E77" i="190"/>
  <c r="I76" i="190"/>
  <c r="G76" i="190"/>
  <c r="E76" i="190"/>
  <c r="I75" i="190"/>
  <c r="G75" i="190"/>
  <c r="E75" i="190"/>
  <c r="I74" i="190"/>
  <c r="G74" i="190"/>
  <c r="E74" i="190"/>
  <c r="I73" i="190"/>
  <c r="G73" i="190"/>
  <c r="E73" i="190"/>
  <c r="I72" i="190"/>
  <c r="I97" i="190" s="1"/>
  <c r="H72" i="190"/>
  <c r="H97" i="190" s="1"/>
  <c r="G72" i="190"/>
  <c r="G97" i="190" s="1"/>
  <c r="F72" i="190"/>
  <c r="F97" i="190" s="1"/>
  <c r="E72" i="190"/>
  <c r="E97" i="190" s="1"/>
  <c r="D72" i="190"/>
  <c r="D97" i="190" s="1"/>
  <c r="H71" i="190"/>
  <c r="H96" i="190" s="1"/>
  <c r="F71" i="190"/>
  <c r="F96" i="190" s="1"/>
  <c r="D71" i="190"/>
  <c r="D96" i="190" s="1"/>
  <c r="C71" i="190"/>
  <c r="C96" i="190" s="1"/>
  <c r="B123" i="190" s="1"/>
  <c r="B71" i="190"/>
  <c r="B96" i="190" s="1"/>
  <c r="I68" i="190"/>
  <c r="G68" i="190"/>
  <c r="E68" i="190"/>
  <c r="I67" i="190"/>
  <c r="G67" i="190"/>
  <c r="E67" i="190"/>
  <c r="I66" i="190"/>
  <c r="G66" i="190"/>
  <c r="E66" i="190"/>
  <c r="I65" i="190"/>
  <c r="G65" i="190"/>
  <c r="E65" i="190"/>
  <c r="I64" i="190"/>
  <c r="G64" i="190"/>
  <c r="E64" i="190"/>
  <c r="I63" i="190"/>
  <c r="G63" i="190"/>
  <c r="E63" i="190"/>
  <c r="I62" i="190"/>
  <c r="G62" i="190"/>
  <c r="E62" i="190"/>
  <c r="I61" i="190"/>
  <c r="G61" i="190"/>
  <c r="E61" i="190"/>
  <c r="I60" i="190"/>
  <c r="G60" i="190"/>
  <c r="E60" i="190"/>
  <c r="I59" i="190"/>
  <c r="G59" i="190"/>
  <c r="E59" i="190"/>
  <c r="I58" i="190"/>
  <c r="G58" i="190"/>
  <c r="E58" i="190"/>
  <c r="I57" i="190"/>
  <c r="G57" i="190"/>
  <c r="E57" i="190"/>
  <c r="I56" i="190"/>
  <c r="G56" i="190"/>
  <c r="E56" i="190"/>
  <c r="I55" i="190"/>
  <c r="G55" i="190"/>
  <c r="E55" i="190"/>
  <c r="I54" i="190"/>
  <c r="G54" i="190"/>
  <c r="E54" i="190"/>
  <c r="I53" i="190"/>
  <c r="G53" i="190"/>
  <c r="E53" i="190"/>
  <c r="I52" i="190"/>
  <c r="G52" i="190"/>
  <c r="E52" i="190"/>
  <c r="I51" i="190"/>
  <c r="G51" i="190"/>
  <c r="E51" i="190"/>
  <c r="I50" i="190"/>
  <c r="G50" i="190"/>
  <c r="E50" i="190"/>
  <c r="I49" i="190"/>
  <c r="G49" i="190"/>
  <c r="E49" i="190"/>
  <c r="I48" i="190"/>
  <c r="G48" i="190"/>
  <c r="E48" i="190"/>
  <c r="I47" i="190"/>
  <c r="G47" i="190"/>
  <c r="E47" i="190"/>
  <c r="I46" i="190"/>
  <c r="G46" i="190"/>
  <c r="E46" i="190"/>
  <c r="I45" i="190"/>
  <c r="G45" i="190"/>
  <c r="E45" i="190"/>
  <c r="I44" i="190"/>
  <c r="G44" i="190"/>
  <c r="E44" i="190"/>
  <c r="I43" i="190"/>
  <c r="G43" i="190"/>
  <c r="E43" i="190"/>
  <c r="I42" i="190"/>
  <c r="G42" i="190"/>
  <c r="E42" i="190"/>
  <c r="I41" i="190"/>
  <c r="G41" i="190"/>
  <c r="E41" i="190"/>
  <c r="I40" i="190"/>
  <c r="G40" i="190"/>
  <c r="E40" i="190"/>
  <c r="I39" i="190"/>
  <c r="G39" i="190"/>
  <c r="E39" i="190"/>
  <c r="I38" i="190"/>
  <c r="G38" i="190"/>
  <c r="E38" i="190"/>
  <c r="I37" i="190"/>
  <c r="G37" i="190"/>
  <c r="E37" i="190"/>
  <c r="I36" i="190"/>
  <c r="G36" i="190"/>
  <c r="E36" i="190"/>
  <c r="I35" i="190"/>
  <c r="G35" i="190"/>
  <c r="E35" i="190"/>
  <c r="I34" i="190"/>
  <c r="G34" i="190"/>
  <c r="E34" i="190"/>
  <c r="I33" i="190"/>
  <c r="G33" i="190"/>
  <c r="E33" i="190"/>
  <c r="I32" i="190"/>
  <c r="G32" i="190"/>
  <c r="E32" i="190"/>
  <c r="I31" i="190"/>
  <c r="G31" i="190"/>
  <c r="E31" i="190"/>
  <c r="I30" i="190"/>
  <c r="G30" i="190"/>
  <c r="E30" i="190"/>
  <c r="I29" i="190"/>
  <c r="G29" i="190"/>
  <c r="E29" i="190"/>
  <c r="I28" i="190"/>
  <c r="G28" i="190"/>
  <c r="E28" i="190"/>
  <c r="I27" i="190"/>
  <c r="G27" i="190"/>
  <c r="E27" i="190"/>
  <c r="I26" i="190"/>
  <c r="G26" i="190"/>
  <c r="E26" i="190"/>
  <c r="I25" i="190"/>
  <c r="G25" i="190"/>
  <c r="E25" i="190"/>
  <c r="I24" i="190"/>
  <c r="G24" i="190"/>
  <c r="E24" i="190"/>
  <c r="I23" i="190"/>
  <c r="G23" i="190"/>
  <c r="E23" i="190"/>
  <c r="I22" i="190"/>
  <c r="G22" i="190"/>
  <c r="E22" i="190"/>
  <c r="I21" i="190"/>
  <c r="G21" i="190"/>
  <c r="E21" i="190"/>
  <c r="I20" i="190"/>
  <c r="G20" i="190"/>
  <c r="E20" i="190"/>
  <c r="I19" i="190"/>
  <c r="G19" i="190"/>
  <c r="E19" i="190"/>
  <c r="I18" i="190"/>
  <c r="G18" i="190"/>
  <c r="E18" i="190"/>
  <c r="I17" i="190"/>
  <c r="G17" i="190"/>
  <c r="E17" i="190"/>
  <c r="I16" i="190"/>
  <c r="G16" i="190"/>
  <c r="E16" i="190"/>
  <c r="I15" i="190"/>
  <c r="G15" i="190"/>
  <c r="E15" i="190"/>
  <c r="I14" i="190"/>
  <c r="G14" i="190"/>
  <c r="E14" i="190"/>
  <c r="I13" i="190"/>
  <c r="G13" i="190"/>
  <c r="E13" i="190"/>
  <c r="I12" i="190"/>
  <c r="G12" i="190"/>
  <c r="E12" i="190"/>
  <c r="I11" i="190"/>
  <c r="G11" i="190"/>
  <c r="E11" i="190"/>
  <c r="I10" i="190"/>
  <c r="G10" i="190"/>
  <c r="E10" i="190"/>
  <c r="I9" i="190"/>
  <c r="G9" i="190"/>
  <c r="E9" i="190"/>
  <c r="I8" i="190"/>
  <c r="G8" i="190"/>
  <c r="E8" i="190"/>
  <c r="I7" i="190"/>
  <c r="G7" i="190"/>
  <c r="E7" i="190"/>
  <c r="I6" i="190"/>
  <c r="G6" i="190"/>
  <c r="E6" i="190"/>
  <c r="D124" i="190" l="1"/>
  <c r="D106" i="190"/>
  <c r="D115" i="190" s="1"/>
  <c r="D123" i="190"/>
  <c r="D138" i="190" s="1"/>
  <c r="D105" i="190"/>
  <c r="D114" i="190" s="1"/>
  <c r="E124" i="190"/>
  <c r="E106" i="190"/>
  <c r="E115" i="190" s="1"/>
  <c r="I124" i="190"/>
  <c r="I106" i="190"/>
  <c r="I115" i="190" s="1"/>
  <c r="F123" i="190"/>
  <c r="F138" i="190" s="1"/>
  <c r="F105" i="190"/>
  <c r="F114" i="190" s="1"/>
  <c r="F124" i="190"/>
  <c r="F106" i="190"/>
  <c r="F115" i="190" s="1"/>
  <c r="H124" i="190"/>
  <c r="H106" i="190"/>
  <c r="H115" i="190" s="1"/>
  <c r="H123" i="190"/>
  <c r="H138" i="190" s="1"/>
  <c r="H105" i="190"/>
  <c r="H114" i="190" s="1"/>
  <c r="G124" i="190"/>
  <c r="G106" i="190"/>
  <c r="G115" i="190" s="1"/>
  <c r="E103" i="190"/>
  <c r="E94" i="190"/>
  <c r="I103" i="190"/>
  <c r="G69" i="190"/>
  <c r="E69" i="190"/>
  <c r="G94" i="190"/>
  <c r="I69" i="190"/>
  <c r="I94" i="190"/>
  <c r="I134" i="190"/>
  <c r="G134" i="190"/>
  <c r="G103" i="190"/>
  <c r="E134" i="190"/>
  <c r="D136" i="190" l="1"/>
  <c r="G16" i="189" s="1"/>
  <c r="G17" i="189" s="1"/>
  <c r="F136" i="190"/>
  <c r="G71" i="177" s="1"/>
  <c r="H136" i="190"/>
  <c r="F30" i="184"/>
  <c r="F32" i="184" s="1"/>
  <c r="G60" i="184"/>
  <c r="G61" i="185"/>
  <c r="G38" i="189" l="1"/>
  <c r="G39" i="189" s="1"/>
  <c r="G72" i="177"/>
  <c r="G77" i="187"/>
  <c r="G61" i="165"/>
  <c r="E56" i="187"/>
  <c r="D56" i="187"/>
  <c r="G78" i="187" l="1"/>
  <c r="G62" i="165"/>
  <c r="G62" i="189"/>
  <c r="G63" i="189" s="1"/>
  <c r="F56" i="187"/>
  <c r="E50" i="177" l="1"/>
  <c r="E51" i="177"/>
  <c r="D51" i="177"/>
  <c r="F51" i="177" l="1"/>
  <c r="G61" i="175" l="1"/>
  <c r="G60" i="174"/>
  <c r="G61" i="172" l="1"/>
  <c r="F31" i="172"/>
  <c r="F32" i="172" s="1"/>
  <c r="D55" i="187" l="1"/>
  <c r="F20" i="187"/>
  <c r="G74" i="189" s="1"/>
  <c r="F19" i="187"/>
  <c r="G73" i="189" s="1"/>
  <c r="B20" i="187"/>
  <c r="B19" i="187"/>
  <c r="B73" i="189" s="1"/>
  <c r="B18" i="187"/>
  <c r="B17" i="187"/>
  <c r="B16" i="187"/>
  <c r="B15" i="187"/>
  <c r="B14" i="187"/>
  <c r="F18" i="187"/>
  <c r="G72" i="189" s="1"/>
  <c r="G82" i="189" s="1"/>
  <c r="G71" i="189"/>
  <c r="G81" i="189" s="1"/>
  <c r="G70" i="189"/>
  <c r="G69" i="189"/>
  <c r="G68" i="189"/>
  <c r="D74" i="187"/>
  <c r="D73" i="187"/>
  <c r="D58" i="189" s="1"/>
  <c r="F58" i="189" s="1"/>
  <c r="D72" i="187"/>
  <c r="D71" i="187"/>
  <c r="D70" i="187"/>
  <c r="D69" i="187"/>
  <c r="E55" i="187"/>
  <c r="C55" i="187"/>
  <c r="E13" i="187"/>
  <c r="E12" i="187"/>
  <c r="E11" i="187"/>
  <c r="E10" i="187"/>
  <c r="E9" i="187"/>
  <c r="F8" i="187" s="1"/>
  <c r="E8" i="187"/>
  <c r="F140" i="186"/>
  <c r="F127" i="186"/>
  <c r="F128" i="186" s="1"/>
  <c r="G115" i="186"/>
  <c r="G114" i="186"/>
  <c r="F94" i="186"/>
  <c r="F86" i="186"/>
  <c r="F102" i="186" s="1"/>
  <c r="F72" i="186"/>
  <c r="G61" i="186"/>
  <c r="G60" i="186"/>
  <c r="E59" i="186"/>
  <c r="G59" i="186" s="1"/>
  <c r="E58" i="186"/>
  <c r="G58" i="186" s="1"/>
  <c r="G57" i="186"/>
  <c r="G56" i="186"/>
  <c r="G55" i="186"/>
  <c r="E54" i="186"/>
  <c r="G54" i="186" s="1"/>
  <c r="F51" i="186"/>
  <c r="F38" i="186"/>
  <c r="F37" i="186"/>
  <c r="F31" i="186"/>
  <c r="F32" i="186" s="1"/>
  <c r="G32" i="186" s="1"/>
  <c r="G30" i="186"/>
  <c r="G29" i="186"/>
  <c r="G28" i="186"/>
  <c r="G27" i="186"/>
  <c r="G53" i="186" s="1"/>
  <c r="F142" i="185"/>
  <c r="G141" i="185"/>
  <c r="F140" i="185"/>
  <c r="F127" i="185"/>
  <c r="F128" i="185" s="1"/>
  <c r="G115" i="185"/>
  <c r="G114" i="185"/>
  <c r="F94" i="185"/>
  <c r="F86" i="185"/>
  <c r="F102" i="185" s="1"/>
  <c r="F72" i="185"/>
  <c r="G62" i="185"/>
  <c r="G60" i="185"/>
  <c r="G59" i="185"/>
  <c r="G58" i="185"/>
  <c r="G57" i="185"/>
  <c r="G56" i="185"/>
  <c r="G55" i="185"/>
  <c r="G54" i="185"/>
  <c r="F51" i="185"/>
  <c r="F66" i="185" s="1"/>
  <c r="F38" i="185"/>
  <c r="F39" i="185" s="1"/>
  <c r="G33" i="185"/>
  <c r="F30" i="185"/>
  <c r="F32" i="185" s="1"/>
  <c r="G29" i="185"/>
  <c r="G27" i="185"/>
  <c r="G53" i="185" s="1"/>
  <c r="F140" i="184"/>
  <c r="F127" i="184"/>
  <c r="F128" i="184" s="1"/>
  <c r="F94" i="184"/>
  <c r="F86" i="184"/>
  <c r="F102" i="184" s="1"/>
  <c r="G62" i="184"/>
  <c r="G61" i="184"/>
  <c r="E59" i="184"/>
  <c r="G59" i="184" s="1"/>
  <c r="G58" i="184"/>
  <c r="G57" i="184"/>
  <c r="G56" i="184"/>
  <c r="G55" i="184"/>
  <c r="G54" i="184"/>
  <c r="F51" i="184"/>
  <c r="F90" i="184" s="1"/>
  <c r="F38" i="184"/>
  <c r="F39" i="184" s="1"/>
  <c r="G33" i="184"/>
  <c r="G29" i="184"/>
  <c r="G27" i="184"/>
  <c r="F140" i="183"/>
  <c r="F127" i="183"/>
  <c r="F128" i="183" s="1"/>
  <c r="F94" i="183"/>
  <c r="F86" i="183"/>
  <c r="F102" i="183" s="1"/>
  <c r="F72" i="183"/>
  <c r="G61" i="183"/>
  <c r="G60" i="183"/>
  <c r="G59" i="183"/>
  <c r="E59" i="183"/>
  <c r="E58" i="183"/>
  <c r="G58" i="183" s="1"/>
  <c r="G57" i="183"/>
  <c r="G56" i="183"/>
  <c r="E55" i="183"/>
  <c r="G55" i="183" s="1"/>
  <c r="G54" i="183"/>
  <c r="E54" i="183"/>
  <c r="F51" i="183"/>
  <c r="F89" i="183" s="1"/>
  <c r="F38" i="183"/>
  <c r="F37" i="183"/>
  <c r="F39" i="183" s="1"/>
  <c r="F31" i="183"/>
  <c r="F32" i="183" s="1"/>
  <c r="G32" i="183" s="1"/>
  <c r="G30" i="183"/>
  <c r="G29" i="183"/>
  <c r="G28" i="183"/>
  <c r="G27" i="183"/>
  <c r="G53" i="183" s="1"/>
  <c r="F140" i="182"/>
  <c r="F127" i="182"/>
  <c r="F128" i="182" s="1"/>
  <c r="F94" i="182"/>
  <c r="F86" i="182"/>
  <c r="F102" i="182" s="1"/>
  <c r="F72" i="182"/>
  <c r="G61" i="182"/>
  <c r="G60" i="182"/>
  <c r="G59" i="182"/>
  <c r="E59" i="182"/>
  <c r="E58" i="182"/>
  <c r="G58" i="182" s="1"/>
  <c r="G57" i="182"/>
  <c r="G56" i="182"/>
  <c r="G55" i="182"/>
  <c r="E55" i="182"/>
  <c r="E54" i="182"/>
  <c r="G54" i="182" s="1"/>
  <c r="G53" i="182"/>
  <c r="F51" i="182"/>
  <c r="F38" i="182"/>
  <c r="F37" i="182"/>
  <c r="F39" i="182" s="1"/>
  <c r="F32" i="182"/>
  <c r="G32" i="182" s="1"/>
  <c r="F31" i="182"/>
  <c r="G31" i="182" s="1"/>
  <c r="G30" i="182"/>
  <c r="G29" i="182"/>
  <c r="G28" i="182"/>
  <c r="G27" i="182"/>
  <c r="G60" i="181"/>
  <c r="F140" i="181"/>
  <c r="F127" i="181"/>
  <c r="F128" i="181" s="1"/>
  <c r="F94" i="181"/>
  <c r="F86" i="181"/>
  <c r="F102" i="181" s="1"/>
  <c r="G61" i="181"/>
  <c r="E59" i="181"/>
  <c r="G59" i="181" s="1"/>
  <c r="E58" i="181"/>
  <c r="G58" i="181" s="1"/>
  <c r="G57" i="181"/>
  <c r="G56" i="181"/>
  <c r="E55" i="181"/>
  <c r="G55" i="181" s="1"/>
  <c r="E54" i="181"/>
  <c r="G54" i="181" s="1"/>
  <c r="F51" i="181"/>
  <c r="F90" i="181" s="1"/>
  <c r="F38" i="181"/>
  <c r="F37" i="181"/>
  <c r="F39" i="181" s="1"/>
  <c r="F31" i="181"/>
  <c r="G31" i="181" s="1"/>
  <c r="G30" i="181"/>
  <c r="G29" i="181"/>
  <c r="G28" i="181"/>
  <c r="G27" i="181"/>
  <c r="G53" i="181" s="1"/>
  <c r="F66" i="186" l="1"/>
  <c r="F90" i="186"/>
  <c r="G31" i="183"/>
  <c r="B74" i="189"/>
  <c r="B30" i="187"/>
  <c r="B64" i="187" s="1"/>
  <c r="G34" i="182"/>
  <c r="H86" i="182" s="1"/>
  <c r="F66" i="183"/>
  <c r="F90" i="183"/>
  <c r="F92" i="183" s="1"/>
  <c r="F103" i="183" s="1"/>
  <c r="F99" i="182"/>
  <c r="F90" i="182"/>
  <c r="F39" i="186"/>
  <c r="F95" i="181"/>
  <c r="F96" i="181" s="1"/>
  <c r="F104" i="181" s="1"/>
  <c r="F66" i="184"/>
  <c r="F95" i="185"/>
  <c r="F96" i="183"/>
  <c r="F104" i="183" s="1"/>
  <c r="F75" i="183"/>
  <c r="F77" i="183" s="1"/>
  <c r="F95" i="183"/>
  <c r="F75" i="185"/>
  <c r="F77" i="185" s="1"/>
  <c r="F95" i="186"/>
  <c r="F89" i="184"/>
  <c r="F92" i="184" s="1"/>
  <c r="F103" i="184" s="1"/>
  <c r="F75" i="182"/>
  <c r="F77" i="182" s="1"/>
  <c r="F95" i="182"/>
  <c r="F96" i="182" s="1"/>
  <c r="F99" i="183"/>
  <c r="F100" i="183" s="1"/>
  <c r="F105" i="183" s="1"/>
  <c r="F75" i="184"/>
  <c r="F95" i="184"/>
  <c r="F75" i="186"/>
  <c r="F77" i="186" s="1"/>
  <c r="F99" i="181"/>
  <c r="F99" i="184"/>
  <c r="F100" i="184" s="1"/>
  <c r="G63" i="185"/>
  <c r="G67" i="185" s="1"/>
  <c r="B25" i="187"/>
  <c r="B61" i="187" s="1"/>
  <c r="B69" i="189"/>
  <c r="B26" i="187"/>
  <c r="B70" i="189"/>
  <c r="F71" i="187"/>
  <c r="D56" i="189"/>
  <c r="F56" i="189" s="1"/>
  <c r="G75" i="189"/>
  <c r="B27" i="187"/>
  <c r="B71" i="189"/>
  <c r="F69" i="187"/>
  <c r="D54" i="189"/>
  <c r="F54" i="189" s="1"/>
  <c r="F70" i="187"/>
  <c r="D55" i="189"/>
  <c r="F55" i="189" s="1"/>
  <c r="F74" i="187"/>
  <c r="D59" i="189"/>
  <c r="F59" i="189" s="1"/>
  <c r="F72" i="187"/>
  <c r="D57" i="189"/>
  <c r="F57" i="189" s="1"/>
  <c r="B24" i="187"/>
  <c r="B48" i="187" s="1"/>
  <c r="B68" i="189"/>
  <c r="B28" i="187"/>
  <c r="B72" i="189"/>
  <c r="F73" i="187"/>
  <c r="B41" i="187"/>
  <c r="B56" i="187"/>
  <c r="B45" i="187"/>
  <c r="B49" i="187"/>
  <c r="B35" i="187"/>
  <c r="B62" i="187"/>
  <c r="F21" i="187"/>
  <c r="F55" i="187"/>
  <c r="G63" i="186"/>
  <c r="G67" i="186" s="1"/>
  <c r="F96" i="186"/>
  <c r="F104" i="186" s="1"/>
  <c r="F99" i="186"/>
  <c r="F100" i="186" s="1"/>
  <c r="F105" i="186" s="1"/>
  <c r="G31" i="186"/>
  <c r="G34" i="186" s="1"/>
  <c r="F40" i="186"/>
  <c r="F41" i="186" s="1"/>
  <c r="F65" i="186" s="1"/>
  <c r="F89" i="186"/>
  <c r="F89" i="185"/>
  <c r="F92" i="185" s="1"/>
  <c r="F103" i="185" s="1"/>
  <c r="F96" i="185"/>
  <c r="F104" i="185" s="1"/>
  <c r="G28" i="185"/>
  <c r="G32" i="185" s="1"/>
  <c r="F40" i="185"/>
  <c r="F41" i="185" s="1"/>
  <c r="F65" i="185" s="1"/>
  <c r="F99" i="185"/>
  <c r="F100" i="185" s="1"/>
  <c r="F96" i="184"/>
  <c r="F104" i="184" s="1"/>
  <c r="G28" i="184"/>
  <c r="G32" i="184" s="1"/>
  <c r="F40" i="184"/>
  <c r="F41" i="184" s="1"/>
  <c r="F65" i="184" s="1"/>
  <c r="G53" i="184"/>
  <c r="G63" i="184" s="1"/>
  <c r="G67" i="184" s="1"/>
  <c r="F72" i="184"/>
  <c r="G30" i="184"/>
  <c r="G63" i="183"/>
  <c r="G67" i="183" s="1"/>
  <c r="F40" i="183"/>
  <c r="F41" i="183" s="1"/>
  <c r="F65" i="183" s="1"/>
  <c r="G34" i="183"/>
  <c r="G63" i="182"/>
  <c r="G67" i="182" s="1"/>
  <c r="F100" i="182"/>
  <c r="F105" i="182" s="1"/>
  <c r="F40" i="182"/>
  <c r="F41" i="182"/>
  <c r="F65" i="182" s="1"/>
  <c r="G94" i="182"/>
  <c r="G45" i="182"/>
  <c r="G37" i="182"/>
  <c r="G44" i="182"/>
  <c r="H100" i="182" s="1"/>
  <c r="G130" i="182"/>
  <c r="G90" i="182"/>
  <c r="G88" i="182"/>
  <c r="G50" i="182"/>
  <c r="F66" i="182"/>
  <c r="F89" i="182"/>
  <c r="F92" i="182" s="1"/>
  <c r="G63" i="181"/>
  <c r="G67" i="181" s="1"/>
  <c r="F66" i="181"/>
  <c r="F100" i="181"/>
  <c r="F105" i="181" s="1"/>
  <c r="F89" i="181"/>
  <c r="F92" i="181" s="1"/>
  <c r="F103" i="181" s="1"/>
  <c r="F32" i="181"/>
  <c r="G32" i="181" s="1"/>
  <c r="G34" i="181" s="1"/>
  <c r="F40" i="181"/>
  <c r="F41" i="181" s="1"/>
  <c r="F65" i="181" s="1"/>
  <c r="F72" i="181"/>
  <c r="F75" i="181"/>
  <c r="G85" i="182" l="1"/>
  <c r="G95" i="182"/>
  <c r="G48" i="182"/>
  <c r="G49" i="182"/>
  <c r="H77" i="182"/>
  <c r="G43" i="182"/>
  <c r="G46" i="182"/>
  <c r="G51" i="182" s="1"/>
  <c r="G66" i="182" s="1"/>
  <c r="G73" i="182"/>
  <c r="G76" i="182"/>
  <c r="G38" i="182"/>
  <c r="G71" i="182"/>
  <c r="H51" i="182"/>
  <c r="G47" i="182"/>
  <c r="G72" i="182"/>
  <c r="G84" i="182"/>
  <c r="G86" i="182" s="1"/>
  <c r="G102" i="182" s="1"/>
  <c r="G80" i="182"/>
  <c r="G40" i="182"/>
  <c r="G81" i="182"/>
  <c r="G74" i="182"/>
  <c r="G91" i="182"/>
  <c r="G82" i="182"/>
  <c r="G83" i="182"/>
  <c r="G99" i="182"/>
  <c r="G98" i="182"/>
  <c r="F77" i="184"/>
  <c r="G75" i="182"/>
  <c r="F104" i="182"/>
  <c r="H96" i="182"/>
  <c r="F77" i="181"/>
  <c r="H77" i="181" s="1"/>
  <c r="B40" i="187"/>
  <c r="B39" i="187"/>
  <c r="B34" i="187"/>
  <c r="B63" i="187"/>
  <c r="B55" i="187"/>
  <c r="B44"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91" i="186"/>
  <c r="G84" i="186"/>
  <c r="G75" i="186"/>
  <c r="G73" i="186"/>
  <c r="G30" i="185"/>
  <c r="G34" i="185" s="1"/>
  <c r="I106" i="185"/>
  <c r="F105" i="185"/>
  <c r="G34" i="184"/>
  <c r="G99" i="184" s="1"/>
  <c r="F105" i="184"/>
  <c r="I106" i="184"/>
  <c r="G98" i="183"/>
  <c r="G91" i="183"/>
  <c r="G84" i="183"/>
  <c r="H77" i="183"/>
  <c r="G75" i="183"/>
  <c r="G73" i="183"/>
  <c r="G71" i="183"/>
  <c r="G48" i="183"/>
  <c r="G44" i="183"/>
  <c r="H100" i="183" s="1"/>
  <c r="G50" i="183"/>
  <c r="G40" i="183"/>
  <c r="G94" i="183"/>
  <c r="H86" i="183"/>
  <c r="G82" i="183"/>
  <c r="G80" i="183"/>
  <c r="G76" i="183"/>
  <c r="H51" i="183"/>
  <c r="G49" i="183"/>
  <c r="H41" i="183"/>
  <c r="G37" i="183"/>
  <c r="G95" i="183"/>
  <c r="H92" i="183"/>
  <c r="G90" i="183"/>
  <c r="G88" i="183"/>
  <c r="G83" i="183"/>
  <c r="G81" i="183"/>
  <c r="G47" i="183"/>
  <c r="G43" i="183"/>
  <c r="G38" i="183"/>
  <c r="G130" i="183"/>
  <c r="G99" i="183"/>
  <c r="H96" i="183"/>
  <c r="G85" i="183"/>
  <c r="G74" i="183"/>
  <c r="G72" i="183"/>
  <c r="G46" i="183"/>
  <c r="G89" i="183"/>
  <c r="G45" i="183"/>
  <c r="F103" i="182"/>
  <c r="H92" i="182"/>
  <c r="G41" i="182"/>
  <c r="H41" i="182"/>
  <c r="G89" i="182"/>
  <c r="G92" i="182" s="1"/>
  <c r="G103" i="182" s="1"/>
  <c r="G96" i="182"/>
  <c r="G104" i="182" s="1"/>
  <c r="G130" i="181"/>
  <c r="G99" i="181"/>
  <c r="H96" i="181"/>
  <c r="G85" i="181"/>
  <c r="G74" i="181"/>
  <c r="G72" i="181"/>
  <c r="G50" i="181"/>
  <c r="G46" i="181"/>
  <c r="G40" i="181"/>
  <c r="G91" i="181"/>
  <c r="G75" i="181"/>
  <c r="G73" i="181"/>
  <c r="G71" i="181"/>
  <c r="G48" i="181"/>
  <c r="G95" i="181"/>
  <c r="H92" i="181"/>
  <c r="G88" i="181"/>
  <c r="G92" i="181" s="1"/>
  <c r="G103" i="181" s="1"/>
  <c r="G83" i="181"/>
  <c r="G81" i="181"/>
  <c r="G47" i="181"/>
  <c r="G43" i="181"/>
  <c r="G94" i="181"/>
  <c r="G96" i="181" s="1"/>
  <c r="G104" i="181" s="1"/>
  <c r="G89" i="181"/>
  <c r="H86" i="181"/>
  <c r="G82" i="181"/>
  <c r="G80" i="181"/>
  <c r="G76" i="181"/>
  <c r="H51" i="181"/>
  <c r="G49" i="181"/>
  <c r="G45" i="181"/>
  <c r="H41" i="181"/>
  <c r="G37" i="181"/>
  <c r="G98" i="181"/>
  <c r="G84" i="181"/>
  <c r="G44" i="181"/>
  <c r="H100" i="181" s="1"/>
  <c r="G90" i="181"/>
  <c r="G38" i="181"/>
  <c r="G100" i="182" l="1"/>
  <c r="G105" i="182" s="1"/>
  <c r="G106" i="182" s="1"/>
  <c r="G133" i="182" s="1"/>
  <c r="G77" i="182"/>
  <c r="G132" i="182" s="1"/>
  <c r="G77" i="181"/>
  <c r="G132" i="181" s="1"/>
  <c r="G100" i="181"/>
  <c r="G105" i="181" s="1"/>
  <c r="G100" i="186"/>
  <c r="G105" i="186" s="1"/>
  <c r="H92" i="184"/>
  <c r="G91" i="184"/>
  <c r="G76" i="184"/>
  <c r="G94" i="184"/>
  <c r="G96" i="184" s="1"/>
  <c r="G104" i="184" s="1"/>
  <c r="G49" i="184"/>
  <c r="G40" i="184"/>
  <c r="H96" i="184"/>
  <c r="G80" i="184"/>
  <c r="G44" i="184"/>
  <c r="H100" i="184" s="1"/>
  <c r="G73" i="184"/>
  <c r="G43" i="184"/>
  <c r="G90" i="184"/>
  <c r="G84" i="184"/>
  <c r="G46" i="184"/>
  <c r="G89" i="184"/>
  <c r="G83" i="184"/>
  <c r="H77" i="184"/>
  <c r="G85" i="184"/>
  <c r="G95" i="184"/>
  <c r="G37" i="184"/>
  <c r="G38" i="184"/>
  <c r="G71" i="184"/>
  <c r="H41" i="184"/>
  <c r="G82" i="184"/>
  <c r="G81" i="184"/>
  <c r="G75" i="184"/>
  <c r="G47" i="184"/>
  <c r="G74" i="184"/>
  <c r="G86" i="186"/>
  <c r="G102" i="186" s="1"/>
  <c r="G96" i="186"/>
  <c r="G104" i="186" s="1"/>
  <c r="G110" i="186"/>
  <c r="G110" i="183"/>
  <c r="G110" i="182"/>
  <c r="G110" i="181"/>
  <c r="G110" i="185"/>
  <c r="G110" i="184"/>
  <c r="G111" i="185"/>
  <c r="G111" i="186"/>
  <c r="G41" i="186"/>
  <c r="G51" i="186"/>
  <c r="G66" i="186" s="1"/>
  <c r="G92" i="186"/>
  <c r="G103" i="186" s="1"/>
  <c r="G77" i="186"/>
  <c r="G132" i="186" s="1"/>
  <c r="G95" i="185"/>
  <c r="H92" i="185"/>
  <c r="G90" i="185"/>
  <c r="G88" i="185"/>
  <c r="G83" i="185"/>
  <c r="G81" i="185"/>
  <c r="G48" i="185"/>
  <c r="G44" i="185"/>
  <c r="H100" i="185" s="1"/>
  <c r="G38" i="185"/>
  <c r="G99" i="185"/>
  <c r="H96" i="185"/>
  <c r="G85" i="185"/>
  <c r="G74" i="185"/>
  <c r="G72" i="185"/>
  <c r="G47" i="185"/>
  <c r="G43" i="185"/>
  <c r="G40" i="185"/>
  <c r="G94" i="185"/>
  <c r="G96" i="185" s="1"/>
  <c r="G104" i="185" s="1"/>
  <c r="G89" i="185"/>
  <c r="H86" i="185"/>
  <c r="G82" i="185"/>
  <c r="G80" i="185"/>
  <c r="G76" i="185"/>
  <c r="G50" i="185"/>
  <c r="G46" i="185"/>
  <c r="H41" i="185"/>
  <c r="G37" i="185"/>
  <c r="G130" i="185"/>
  <c r="G98" i="185"/>
  <c r="G100" i="185" s="1"/>
  <c r="G105" i="185" s="1"/>
  <c r="G91" i="185"/>
  <c r="G84" i="185"/>
  <c r="H77" i="185"/>
  <c r="G75" i="185"/>
  <c r="G73" i="185"/>
  <c r="G71" i="185"/>
  <c r="H51" i="185"/>
  <c r="G49" i="185"/>
  <c r="G45" i="185"/>
  <c r="G88" i="184"/>
  <c r="G45" i="184"/>
  <c r="G130" i="184"/>
  <c r="G50" i="184"/>
  <c r="H86" i="184"/>
  <c r="G48" i="184"/>
  <c r="H51" i="184"/>
  <c r="G98" i="184"/>
  <c r="G100" i="184" s="1"/>
  <c r="G105" i="184" s="1"/>
  <c r="G72" i="184"/>
  <c r="G100" i="183"/>
  <c r="G105" i="183" s="1"/>
  <c r="G51" i="183"/>
  <c r="G66" i="183" s="1"/>
  <c r="G92" i="183"/>
  <c r="G103" i="183" s="1"/>
  <c r="G41" i="183"/>
  <c r="G96" i="183"/>
  <c r="G104" i="183" s="1"/>
  <c r="G86" i="183"/>
  <c r="G102" i="183" s="1"/>
  <c r="G77" i="183"/>
  <c r="G132" i="183" s="1"/>
  <c r="G65" i="182"/>
  <c r="G68" i="182" s="1"/>
  <c r="G131" i="182" s="1"/>
  <c r="H42" i="182"/>
  <c r="G86" i="181"/>
  <c r="G102" i="181" s="1"/>
  <c r="G106" i="181" s="1"/>
  <c r="G133" i="181" s="1"/>
  <c r="G51" i="181"/>
  <c r="G66" i="181" s="1"/>
  <c r="G41" i="181"/>
  <c r="G92" i="184" l="1"/>
  <c r="G103" i="184" s="1"/>
  <c r="G106" i="186"/>
  <c r="G133" i="186" s="1"/>
  <c r="G41" i="184"/>
  <c r="G65" i="184" s="1"/>
  <c r="G77" i="185"/>
  <c r="G132" i="185" s="1"/>
  <c r="G86" i="184"/>
  <c r="G102" i="184" s="1"/>
  <c r="G77" i="184"/>
  <c r="G132" i="184" s="1"/>
  <c r="G51" i="184"/>
  <c r="G66" i="184" s="1"/>
  <c r="G68" i="184" s="1"/>
  <c r="G131" i="184" s="1"/>
  <c r="H42" i="186"/>
  <c r="G65" i="186"/>
  <c r="G68" i="186" s="1"/>
  <c r="G131" i="186" s="1"/>
  <c r="G51" i="185"/>
  <c r="G66" i="185" s="1"/>
  <c r="G92" i="185"/>
  <c r="G103" i="185" s="1"/>
  <c r="G41" i="185"/>
  <c r="G65" i="185" s="1"/>
  <c r="G86" i="185"/>
  <c r="G102" i="185" s="1"/>
  <c r="G106" i="184"/>
  <c r="G133" i="184" s="1"/>
  <c r="G106" i="183"/>
  <c r="G133" i="183" s="1"/>
  <c r="G65" i="183"/>
  <c r="G68" i="183" s="1"/>
  <c r="G131" i="183" s="1"/>
  <c r="H42" i="183"/>
  <c r="G65" i="181"/>
  <c r="G68" i="181" s="1"/>
  <c r="G131" i="181" s="1"/>
  <c r="H42" i="181"/>
  <c r="G68" i="185" l="1"/>
  <c r="G131" i="185" s="1"/>
  <c r="G106" i="185"/>
  <c r="G133" i="185" s="1"/>
  <c r="F140" i="180" l="1"/>
  <c r="F127" i="180"/>
  <c r="F128" i="180" s="1"/>
  <c r="G115" i="180"/>
  <c r="G114" i="180"/>
  <c r="G111" i="180"/>
  <c r="G110" i="180"/>
  <c r="F94" i="180"/>
  <c r="F86" i="180"/>
  <c r="F102" i="180" s="1"/>
  <c r="G61" i="180"/>
  <c r="G60" i="180"/>
  <c r="G59" i="180"/>
  <c r="G58" i="180"/>
  <c r="G57" i="180"/>
  <c r="G56" i="180"/>
  <c r="G55" i="180"/>
  <c r="G54" i="180"/>
  <c r="F51" i="180"/>
  <c r="F90" i="180" s="1"/>
  <c r="F38" i="180"/>
  <c r="F37" i="180"/>
  <c r="F39" i="180" s="1"/>
  <c r="F31" i="180"/>
  <c r="F32" i="180" s="1"/>
  <c r="G32" i="180" s="1"/>
  <c r="G30" i="180"/>
  <c r="G29" i="180"/>
  <c r="G28" i="180"/>
  <c r="G27" i="180"/>
  <c r="G53" i="180" s="1"/>
  <c r="G31" i="180" l="1"/>
  <c r="G34" i="180" s="1"/>
  <c r="F66" i="180"/>
  <c r="F95" i="180"/>
  <c r="F96" i="180" s="1"/>
  <c r="F104" i="180" s="1"/>
  <c r="F99" i="180"/>
  <c r="F100" i="180" s="1"/>
  <c r="F105" i="180" s="1"/>
  <c r="F75" i="180"/>
  <c r="G63" i="180"/>
  <c r="G67" i="180" s="1"/>
  <c r="F40" i="180"/>
  <c r="F41" i="180" s="1"/>
  <c r="F65" i="180" s="1"/>
  <c r="F89" i="180"/>
  <c r="F92" i="180" s="1"/>
  <c r="F103" i="180" s="1"/>
  <c r="F72" i="180"/>
  <c r="D50" i="177"/>
  <c r="B26" i="177"/>
  <c r="B58" i="177" s="1"/>
  <c r="B25" i="177"/>
  <c r="B23" i="177"/>
  <c r="B56" i="177" s="1"/>
  <c r="B22" i="177"/>
  <c r="B24" i="177"/>
  <c r="F16" i="177"/>
  <c r="G46" i="189" s="1"/>
  <c r="G60" i="178"/>
  <c r="F140" i="178"/>
  <c r="F127" i="178"/>
  <c r="F128" i="178" s="1"/>
  <c r="F94" i="178"/>
  <c r="F86" i="178"/>
  <c r="F102" i="178" s="1"/>
  <c r="G61" i="178"/>
  <c r="E59" i="178"/>
  <c r="G59" i="178" s="1"/>
  <c r="E58" i="178"/>
  <c r="G58" i="178" s="1"/>
  <c r="G57" i="178"/>
  <c r="G56" i="178"/>
  <c r="G55" i="178"/>
  <c r="E55" i="178"/>
  <c r="E54" i="178"/>
  <c r="G54" i="178" s="1"/>
  <c r="F51" i="178"/>
  <c r="F90" i="178" s="1"/>
  <c r="F38" i="178"/>
  <c r="F37" i="178"/>
  <c r="F31" i="178"/>
  <c r="F32" i="178" s="1"/>
  <c r="G32" i="178" s="1"/>
  <c r="G30" i="178"/>
  <c r="G29" i="178"/>
  <c r="G28" i="178"/>
  <c r="G27" i="178"/>
  <c r="G53" i="178" s="1"/>
  <c r="F18" i="177"/>
  <c r="G48" i="189" s="1"/>
  <c r="G84" i="189" s="1"/>
  <c r="F17" i="177"/>
  <c r="G47" i="189" s="1"/>
  <c r="F15" i="177"/>
  <c r="G45" i="189" s="1"/>
  <c r="G80" i="189" s="1"/>
  <c r="F14" i="177"/>
  <c r="G44" i="189" s="1"/>
  <c r="D68" i="177"/>
  <c r="D67" i="177"/>
  <c r="D66" i="177"/>
  <c r="D65" i="177"/>
  <c r="D64" i="177"/>
  <c r="D63" i="177"/>
  <c r="B17" i="177"/>
  <c r="B47" i="189" s="1"/>
  <c r="E13" i="177"/>
  <c r="F13" i="177" s="1"/>
  <c r="E12" i="177"/>
  <c r="E11" i="177"/>
  <c r="E10" i="177"/>
  <c r="E9" i="177"/>
  <c r="E8" i="177"/>
  <c r="G31" i="178" l="1"/>
  <c r="F39" i="178"/>
  <c r="F77" i="180"/>
  <c r="F95" i="178"/>
  <c r="F99" i="178"/>
  <c r="F75" i="178"/>
  <c r="B57" i="177"/>
  <c r="B50" i="177"/>
  <c r="F64" i="177"/>
  <c r="D31" i="189"/>
  <c r="F31" i="189" s="1"/>
  <c r="F65" i="177"/>
  <c r="D32" i="189"/>
  <c r="F32" i="189" s="1"/>
  <c r="G49" i="189"/>
  <c r="F63" i="177"/>
  <c r="D30" i="189"/>
  <c r="F30" i="189" s="1"/>
  <c r="F67" i="177"/>
  <c r="D34" i="189"/>
  <c r="F34" i="189" s="1"/>
  <c r="F68" i="177"/>
  <c r="D35" i="189"/>
  <c r="F35" i="189" s="1"/>
  <c r="F66" i="177"/>
  <c r="D33" i="189"/>
  <c r="F33" i="189" s="1"/>
  <c r="F50" i="177"/>
  <c r="B44" i="177"/>
  <c r="B51" i="177"/>
  <c r="B36" i="177"/>
  <c r="B40" i="177"/>
  <c r="B31" i="177"/>
  <c r="G99" i="180"/>
  <c r="H96" i="180"/>
  <c r="G85" i="180"/>
  <c r="G74" i="180"/>
  <c r="G72" i="180"/>
  <c r="H51" i="180"/>
  <c r="G49" i="180"/>
  <c r="G45" i="180"/>
  <c r="H41" i="180"/>
  <c r="G37" i="180"/>
  <c r="G130" i="180"/>
  <c r="G81" i="180"/>
  <c r="G94" i="180"/>
  <c r="G89" i="180"/>
  <c r="H86" i="180"/>
  <c r="G82" i="180"/>
  <c r="G80" i="180"/>
  <c r="G76" i="180"/>
  <c r="G48" i="180"/>
  <c r="G44" i="180"/>
  <c r="H100" i="180" s="1"/>
  <c r="G95" i="180"/>
  <c r="H92" i="180"/>
  <c r="G90" i="180"/>
  <c r="G88" i="180"/>
  <c r="G46" i="180"/>
  <c r="G40" i="180"/>
  <c r="G98" i="180"/>
  <c r="G91" i="180"/>
  <c r="G84" i="180"/>
  <c r="H77" i="180"/>
  <c r="G75" i="180"/>
  <c r="G73" i="180"/>
  <c r="G71" i="180"/>
  <c r="G47" i="180"/>
  <c r="G43" i="180"/>
  <c r="G38" i="180"/>
  <c r="G83" i="180"/>
  <c r="G50" i="180"/>
  <c r="F19" i="177"/>
  <c r="G63" i="178"/>
  <c r="G67" i="178" s="1"/>
  <c r="G34" i="178"/>
  <c r="F66" i="178"/>
  <c r="F100" i="178"/>
  <c r="F105" i="178" s="1"/>
  <c r="F89" i="178"/>
  <c r="F92" i="178" s="1"/>
  <c r="F103" i="178" s="1"/>
  <c r="F96" i="178"/>
  <c r="F104" i="178" s="1"/>
  <c r="F40" i="178"/>
  <c r="F41" i="178" s="1"/>
  <c r="F65" i="178" s="1"/>
  <c r="F72" i="178"/>
  <c r="B35" i="177"/>
  <c r="F8" i="177"/>
  <c r="B39" i="177"/>
  <c r="B43" i="177"/>
  <c r="B30" i="177"/>
  <c r="F77" i="178" l="1"/>
  <c r="G100" i="180"/>
  <c r="G105" i="180" s="1"/>
  <c r="G92" i="180"/>
  <c r="G103" i="180" s="1"/>
  <c r="G51" i="180"/>
  <c r="G66" i="180" s="1"/>
  <c r="G41" i="180"/>
  <c r="G77" i="180"/>
  <c r="G132" i="180" s="1"/>
  <c r="G86" i="180"/>
  <c r="G102" i="180" s="1"/>
  <c r="G96" i="180"/>
  <c r="G104" i="180" s="1"/>
  <c r="G130" i="178"/>
  <c r="G99" i="178"/>
  <c r="H96" i="178"/>
  <c r="G85" i="178"/>
  <c r="G74" i="178"/>
  <c r="G72" i="178"/>
  <c r="G50" i="178"/>
  <c r="G46" i="178"/>
  <c r="G40" i="178"/>
  <c r="G94" i="178"/>
  <c r="G89" i="178"/>
  <c r="H86" i="178"/>
  <c r="G82" i="178"/>
  <c r="G80" i="178"/>
  <c r="G76" i="178"/>
  <c r="H51" i="178"/>
  <c r="G49" i="178"/>
  <c r="G45" i="178"/>
  <c r="H41" i="178"/>
  <c r="G37" i="178"/>
  <c r="G98" i="178"/>
  <c r="G91" i="178"/>
  <c r="G84" i="178"/>
  <c r="H77" i="178"/>
  <c r="G75" i="178"/>
  <c r="G73" i="178"/>
  <c r="G71" i="178"/>
  <c r="G48" i="178"/>
  <c r="G44" i="178"/>
  <c r="H100" i="178" s="1"/>
  <c r="G95" i="178"/>
  <c r="H92" i="178"/>
  <c r="G90" i="178"/>
  <c r="G88" i="178"/>
  <c r="G83" i="178"/>
  <c r="G81" i="178"/>
  <c r="G47" i="178"/>
  <c r="G43" i="178"/>
  <c r="G38" i="178"/>
  <c r="G100" i="178" l="1"/>
  <c r="G105" i="178" s="1"/>
  <c r="G106" i="180"/>
  <c r="G133" i="180" s="1"/>
  <c r="G65" i="180"/>
  <c r="G68" i="180" s="1"/>
  <c r="G131" i="180" s="1"/>
  <c r="H42" i="180"/>
  <c r="G110" i="178"/>
  <c r="G51" i="178"/>
  <c r="G66" i="178" s="1"/>
  <c r="G92" i="178"/>
  <c r="G103" i="178" s="1"/>
  <c r="G41" i="178"/>
  <c r="G77" i="178"/>
  <c r="G132" i="178" s="1"/>
  <c r="G86" i="178"/>
  <c r="G102" i="178" s="1"/>
  <c r="G96" i="178"/>
  <c r="G104" i="178" s="1"/>
  <c r="G106" i="178" l="1"/>
  <c r="G133" i="178" s="1"/>
  <c r="G65" i="178"/>
  <c r="G68" i="178" s="1"/>
  <c r="G131" i="178" s="1"/>
  <c r="H42" i="178"/>
  <c r="F140" i="176" l="1"/>
  <c r="F127" i="176"/>
  <c r="F128" i="176" s="1"/>
  <c r="G115" i="176"/>
  <c r="G114" i="176"/>
  <c r="G111" i="176"/>
  <c r="G110" i="176"/>
  <c r="F94" i="176"/>
  <c r="F86" i="176"/>
  <c r="F102" i="176" s="1"/>
  <c r="G61" i="176"/>
  <c r="G60" i="176"/>
  <c r="E59" i="176"/>
  <c r="G59" i="176" s="1"/>
  <c r="E58" i="176"/>
  <c r="G58" i="176" s="1"/>
  <c r="G57" i="176"/>
  <c r="G56" i="176"/>
  <c r="G55" i="176"/>
  <c r="E54" i="176"/>
  <c r="G54" i="176" s="1"/>
  <c r="F51" i="176"/>
  <c r="F90" i="176" s="1"/>
  <c r="F38" i="176"/>
  <c r="F37" i="176"/>
  <c r="F39" i="176" s="1"/>
  <c r="F31" i="176"/>
  <c r="F32" i="176" s="1"/>
  <c r="G32" i="176" s="1"/>
  <c r="G30" i="176"/>
  <c r="G29" i="176"/>
  <c r="G28" i="176"/>
  <c r="G27" i="176"/>
  <c r="G53" i="176" s="1"/>
  <c r="G31" i="176" l="1"/>
  <c r="G63" i="176"/>
  <c r="G67" i="176" s="1"/>
  <c r="F66" i="176"/>
  <c r="F89" i="176"/>
  <c r="F95" i="176"/>
  <c r="F96" i="176" s="1"/>
  <c r="F104" i="176" s="1"/>
  <c r="F99" i="176"/>
  <c r="F100" i="176" s="1"/>
  <c r="F105" i="176" s="1"/>
  <c r="F75" i="176"/>
  <c r="G34" i="176"/>
  <c r="F92" i="176"/>
  <c r="F103" i="176" s="1"/>
  <c r="F40" i="176"/>
  <c r="F41" i="176" s="1"/>
  <c r="F65" i="176" s="1"/>
  <c r="F72" i="176"/>
  <c r="F142" i="175"/>
  <c r="G141" i="175"/>
  <c r="F140" i="175"/>
  <c r="F127" i="175"/>
  <c r="F128" i="175" s="1"/>
  <c r="G115" i="175"/>
  <c r="G114" i="175"/>
  <c r="F94" i="175"/>
  <c r="F86" i="175"/>
  <c r="F102" i="175" s="1"/>
  <c r="F72" i="175"/>
  <c r="G62" i="175"/>
  <c r="G60" i="175"/>
  <c r="G59" i="175"/>
  <c r="G58" i="175"/>
  <c r="G57" i="175"/>
  <c r="G56" i="175"/>
  <c r="G55" i="175"/>
  <c r="G54" i="175"/>
  <c r="F51" i="175"/>
  <c r="F75" i="175" s="1"/>
  <c r="F38" i="175"/>
  <c r="F39" i="175" s="1"/>
  <c r="G33" i="175"/>
  <c r="F30" i="175"/>
  <c r="F32" i="175" s="1"/>
  <c r="G29" i="175"/>
  <c r="G27" i="175"/>
  <c r="G53" i="175" s="1"/>
  <c r="F140" i="174"/>
  <c r="F127" i="174"/>
  <c r="F128" i="174" s="1"/>
  <c r="G115" i="174"/>
  <c r="F94" i="174"/>
  <c r="F86" i="174"/>
  <c r="F102" i="174" s="1"/>
  <c r="F72" i="174"/>
  <c r="G61" i="174"/>
  <c r="E59" i="174"/>
  <c r="G59" i="174" s="1"/>
  <c r="E58" i="174"/>
  <c r="G58" i="174" s="1"/>
  <c r="G57" i="174"/>
  <c r="G56" i="174"/>
  <c r="G55" i="174"/>
  <c r="E55" i="174"/>
  <c r="E54" i="174"/>
  <c r="G54" i="174" s="1"/>
  <c r="F51" i="174"/>
  <c r="F99" i="174" s="1"/>
  <c r="F38" i="174"/>
  <c r="F37" i="174"/>
  <c r="F31" i="174"/>
  <c r="F32" i="174" s="1"/>
  <c r="G32" i="174" s="1"/>
  <c r="G30" i="174"/>
  <c r="G29" i="174"/>
  <c r="G28" i="174"/>
  <c r="G27" i="174"/>
  <c r="G53" i="174" s="1"/>
  <c r="F140" i="173"/>
  <c r="F127" i="173"/>
  <c r="F128" i="173" s="1"/>
  <c r="G115" i="173"/>
  <c r="G114" i="173"/>
  <c r="F94" i="173"/>
  <c r="F86" i="173"/>
  <c r="F102" i="173" s="1"/>
  <c r="F72" i="173"/>
  <c r="G61" i="173"/>
  <c r="G60" i="173"/>
  <c r="G59" i="173"/>
  <c r="G58" i="173"/>
  <c r="G57" i="173"/>
  <c r="G56" i="173"/>
  <c r="G55" i="173"/>
  <c r="G54" i="173"/>
  <c r="F51" i="173"/>
  <c r="F38" i="173"/>
  <c r="F37" i="173"/>
  <c r="F39" i="173" s="1"/>
  <c r="F31" i="173"/>
  <c r="F32" i="173" s="1"/>
  <c r="G32" i="173" s="1"/>
  <c r="G30" i="173"/>
  <c r="G29" i="173"/>
  <c r="G28" i="173"/>
  <c r="G27" i="173"/>
  <c r="G53" i="173" s="1"/>
  <c r="F39" i="174" l="1"/>
  <c r="F95" i="174"/>
  <c r="F90" i="174"/>
  <c r="F66" i="173"/>
  <c r="F90" i="173"/>
  <c r="F77" i="175"/>
  <c r="F77" i="176"/>
  <c r="H77" i="176" s="1"/>
  <c r="F96" i="174"/>
  <c r="F104" i="174" s="1"/>
  <c r="F75" i="173"/>
  <c r="F77" i="173" s="1"/>
  <c r="G99" i="176"/>
  <c r="H96" i="176"/>
  <c r="G85" i="176"/>
  <c r="G74" i="176"/>
  <c r="G72" i="176"/>
  <c r="H51" i="176"/>
  <c r="G49" i="176"/>
  <c r="G45" i="176"/>
  <c r="H41" i="176"/>
  <c r="G37" i="176"/>
  <c r="G82" i="176"/>
  <c r="G80" i="176"/>
  <c r="G76" i="176"/>
  <c r="G48" i="176"/>
  <c r="G44" i="176"/>
  <c r="H100" i="176" s="1"/>
  <c r="G83" i="176"/>
  <c r="G81" i="176"/>
  <c r="G50" i="176"/>
  <c r="G46" i="176"/>
  <c r="G40" i="176"/>
  <c r="G94" i="176"/>
  <c r="G89" i="176"/>
  <c r="H86" i="176"/>
  <c r="G98" i="176"/>
  <c r="G100" i="176" s="1"/>
  <c r="G105" i="176" s="1"/>
  <c r="G91" i="176"/>
  <c r="G84" i="176"/>
  <c r="G75" i="176"/>
  <c r="G73" i="176"/>
  <c r="G71" i="176"/>
  <c r="G47" i="176"/>
  <c r="G43" i="176"/>
  <c r="G38" i="176"/>
  <c r="G130" i="176"/>
  <c r="G95" i="176"/>
  <c r="H92" i="176"/>
  <c r="G90" i="176"/>
  <c r="G88" i="176"/>
  <c r="G63" i="175"/>
  <c r="G67" i="175" s="1"/>
  <c r="F89" i="175"/>
  <c r="F92" i="175" s="1"/>
  <c r="F103" i="175" s="1"/>
  <c r="G28" i="175"/>
  <c r="G32" i="175" s="1"/>
  <c r="F40" i="175"/>
  <c r="F41" i="175" s="1"/>
  <c r="F65" i="175" s="1"/>
  <c r="F99" i="175"/>
  <c r="F100" i="175" s="1"/>
  <c r="F95" i="175"/>
  <c r="F96" i="175" s="1"/>
  <c r="F104" i="175" s="1"/>
  <c r="F66" i="175"/>
  <c r="F40" i="174"/>
  <c r="F41" i="174" s="1"/>
  <c r="F65" i="174" s="1"/>
  <c r="G63" i="174"/>
  <c r="G67" i="174" s="1"/>
  <c r="G31" i="174"/>
  <c r="G34" i="174" s="1"/>
  <c r="F89" i="174"/>
  <c r="F92" i="174" s="1"/>
  <c r="F103" i="174" s="1"/>
  <c r="F66" i="174"/>
  <c r="F75" i="174"/>
  <c r="F77" i="174" s="1"/>
  <c r="F100" i="174"/>
  <c r="F105" i="174" s="1"/>
  <c r="G63" i="173"/>
  <c r="G67" i="173" s="1"/>
  <c r="F96" i="173"/>
  <c r="F104" i="173" s="1"/>
  <c r="G31" i="173"/>
  <c r="G34" i="173" s="1"/>
  <c r="F95" i="173"/>
  <c r="F89" i="173"/>
  <c r="F99" i="173"/>
  <c r="F100" i="173" s="1"/>
  <c r="F105" i="173" s="1"/>
  <c r="F40" i="173"/>
  <c r="F41" i="173" s="1"/>
  <c r="F65" i="173" s="1"/>
  <c r="F92" i="173" l="1"/>
  <c r="F103" i="173" s="1"/>
  <c r="G30" i="175"/>
  <c r="G34" i="175" s="1"/>
  <c r="G92" i="176"/>
  <c r="G103" i="176" s="1"/>
  <c r="G77" i="176"/>
  <c r="G132" i="176" s="1"/>
  <c r="G41" i="176"/>
  <c r="H42" i="176" s="1"/>
  <c r="G96" i="176"/>
  <c r="G104" i="176" s="1"/>
  <c r="G51" i="176"/>
  <c r="G66" i="176" s="1"/>
  <c r="G86" i="176"/>
  <c r="G102" i="176" s="1"/>
  <c r="I106" i="175"/>
  <c r="F105" i="175"/>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41" i="173" s="1"/>
  <c r="G94" i="173"/>
  <c r="G82" i="173"/>
  <c r="G80" i="173"/>
  <c r="G86" i="173" s="1"/>
  <c r="G102" i="173" s="1"/>
  <c r="G76" i="173"/>
  <c r="G84" i="173"/>
  <c r="H77" i="173"/>
  <c r="G75" i="173"/>
  <c r="G73" i="173"/>
  <c r="G71" i="173"/>
  <c r="G96" i="173" l="1"/>
  <c r="G104" i="173" s="1"/>
  <c r="H92" i="173"/>
  <c r="G51" i="173"/>
  <c r="G66" i="173" s="1"/>
  <c r="G48" i="175"/>
  <c r="G43" i="175"/>
  <c r="G50" i="175"/>
  <c r="H77" i="175"/>
  <c r="G49" i="175"/>
  <c r="G44" i="175"/>
  <c r="H100" i="175" s="1"/>
  <c r="G40" i="175"/>
  <c r="G46" i="175"/>
  <c r="G75" i="175"/>
  <c r="G91" i="175"/>
  <c r="G76" i="175"/>
  <c r="G95" i="175"/>
  <c r="G38" i="175"/>
  <c r="G94" i="175"/>
  <c r="G96" i="175" s="1"/>
  <c r="G104" i="175" s="1"/>
  <c r="H41" i="175"/>
  <c r="G73" i="175"/>
  <c r="G98" i="175"/>
  <c r="G100" i="175" s="1"/>
  <c r="G105" i="175" s="1"/>
  <c r="G47" i="175"/>
  <c r="H92" i="175"/>
  <c r="G99" i="175"/>
  <c r="G89" i="175"/>
  <c r="G37" i="175"/>
  <c r="G41" i="175" s="1"/>
  <c r="G65" i="175" s="1"/>
  <c r="G71" i="175"/>
  <c r="G82" i="175"/>
  <c r="G45" i="175"/>
  <c r="H96" i="175"/>
  <c r="G90" i="175"/>
  <c r="G85" i="175"/>
  <c r="H86" i="175"/>
  <c r="G130" i="175"/>
  <c r="H51" i="175"/>
  <c r="G88" i="175"/>
  <c r="G81" i="175"/>
  <c r="G74" i="175"/>
  <c r="G83" i="175"/>
  <c r="G72" i="175"/>
  <c r="G80" i="175"/>
  <c r="G84" i="175"/>
  <c r="G106" i="176"/>
  <c r="G133" i="176" s="1"/>
  <c r="G65" i="176"/>
  <c r="G68" i="176" s="1"/>
  <c r="G131" i="176" s="1"/>
  <c r="G51" i="174"/>
  <c r="G66" i="174" s="1"/>
  <c r="G77" i="174"/>
  <c r="G132" i="174" s="1"/>
  <c r="G86" i="174"/>
  <c r="G102" i="174" s="1"/>
  <c r="G96" i="174"/>
  <c r="G104" i="174" s="1"/>
  <c r="G92" i="174"/>
  <c r="G103" i="174" s="1"/>
  <c r="G41" i="174"/>
  <c r="G77" i="173"/>
  <c r="G132" i="173" s="1"/>
  <c r="H42" i="173"/>
  <c r="G65" i="173"/>
  <c r="G68" i="173" s="1"/>
  <c r="G131" i="173" s="1"/>
  <c r="G100" i="173"/>
  <c r="G105" i="173" s="1"/>
  <c r="G92" i="173"/>
  <c r="G103" i="173" s="1"/>
  <c r="G106" i="173" l="1"/>
  <c r="G133" i="173" s="1"/>
  <c r="G86" i="175"/>
  <c r="G102" i="175" s="1"/>
  <c r="G92" i="175"/>
  <c r="G103" i="175" s="1"/>
  <c r="G77" i="175"/>
  <c r="G132" i="175" s="1"/>
  <c r="G51" i="175"/>
  <c r="G66" i="175" s="1"/>
  <c r="G68" i="175" s="1"/>
  <c r="G131" i="175" s="1"/>
  <c r="G65" i="174"/>
  <c r="G68" i="174" s="1"/>
  <c r="G131" i="174" s="1"/>
  <c r="H42" i="174"/>
  <c r="G106" i="174"/>
  <c r="G133" i="174" s="1"/>
  <c r="G106" i="175" l="1"/>
  <c r="G133" i="175" s="1"/>
  <c r="B48" i="165"/>
  <c r="D42" i="165"/>
  <c r="D57" i="165" l="1"/>
  <c r="D56" i="165"/>
  <c r="D11" i="189" s="1"/>
  <c r="F11" i="189" s="1"/>
  <c r="F57" i="165" l="1"/>
  <c r="D12" i="189"/>
  <c r="F12" i="189" s="1"/>
  <c r="B22" i="165"/>
  <c r="F15" i="165"/>
  <c r="G23" i="189" s="1"/>
  <c r="G79" i="189" s="1"/>
  <c r="F127" i="172"/>
  <c r="G114" i="172"/>
  <c r="F94" i="172"/>
  <c r="F72" i="172"/>
  <c r="F72" i="148"/>
  <c r="G59" i="172"/>
  <c r="F16" i="165" l="1"/>
  <c r="G24" i="189" s="1"/>
  <c r="G83" i="189" s="1"/>
  <c r="B16" i="165"/>
  <c r="B24" i="189" s="1"/>
  <c r="E11" i="165"/>
  <c r="E12" i="165"/>
  <c r="F142" i="172" l="1"/>
  <c r="G141" i="172"/>
  <c r="F140" i="172"/>
  <c r="F128" i="172"/>
  <c r="G115" i="172"/>
  <c r="F86" i="172"/>
  <c r="F102" i="172" s="1"/>
  <c r="G62" i="172"/>
  <c r="G60" i="172"/>
  <c r="G58" i="172"/>
  <c r="G57" i="172"/>
  <c r="G56" i="172"/>
  <c r="G55" i="172"/>
  <c r="G54" i="172"/>
  <c r="F51" i="172"/>
  <c r="F39" i="172"/>
  <c r="F38" i="172"/>
  <c r="G33" i="172"/>
  <c r="G29" i="172"/>
  <c r="G27" i="172"/>
  <c r="F40" i="172" l="1"/>
  <c r="F41" i="172" s="1"/>
  <c r="F65" i="172" s="1"/>
  <c r="F75" i="172"/>
  <c r="F95" i="172"/>
  <c r="F96" i="172" s="1"/>
  <c r="F104" i="172" s="1"/>
  <c r="F99" i="172"/>
  <c r="F100" i="172" s="1"/>
  <c r="F105" i="172" s="1"/>
  <c r="F66" i="172"/>
  <c r="G28" i="172"/>
  <c r="G31" i="172" s="1"/>
  <c r="G53" i="172"/>
  <c r="G63" i="172" s="1"/>
  <c r="G67" i="172" s="1"/>
  <c r="F89" i="172"/>
  <c r="F92" i="172" s="1"/>
  <c r="G30" i="172" l="1"/>
  <c r="G34" i="172" s="1"/>
  <c r="G80" i="172" s="1"/>
  <c r="F103" i="172"/>
  <c r="G48" i="172" l="1"/>
  <c r="G81" i="172"/>
  <c r="G90" i="172"/>
  <c r="H92" i="172"/>
  <c r="G94" i="172"/>
  <c r="G96" i="172" s="1"/>
  <c r="G104" i="172" s="1"/>
  <c r="G74" i="172"/>
  <c r="G84" i="172"/>
  <c r="G49" i="172"/>
  <c r="G46" i="172"/>
  <c r="G85" i="172"/>
  <c r="G82" i="172"/>
  <c r="G50" i="172"/>
  <c r="G40" i="172"/>
  <c r="G44" i="172"/>
  <c r="H100" i="172" s="1"/>
  <c r="H51" i="172"/>
  <c r="G37" i="172"/>
  <c r="G98" i="172"/>
  <c r="G100" i="172" s="1"/>
  <c r="G105" i="172" s="1"/>
  <c r="G43" i="172"/>
  <c r="G89" i="172"/>
  <c r="G130" i="172"/>
  <c r="G99" i="172"/>
  <c r="G95" i="172"/>
  <c r="G71" i="172"/>
  <c r="G83" i="172"/>
  <c r="G38" i="172"/>
  <c r="G45" i="172"/>
  <c r="G47" i="172"/>
  <c r="H86" i="172"/>
  <c r="G88" i="172"/>
  <c r="H41" i="172"/>
  <c r="G73" i="172"/>
  <c r="G91" i="172"/>
  <c r="G72" i="172"/>
  <c r="H96" i="172"/>
  <c r="G76" i="172"/>
  <c r="G92" i="172" l="1"/>
  <c r="G103" i="172" s="1"/>
  <c r="G41" i="172"/>
  <c r="G65" i="172" s="1"/>
  <c r="G86" i="172"/>
  <c r="G102" i="172" s="1"/>
  <c r="G51" i="172"/>
  <c r="G66" i="172" s="1"/>
  <c r="G68" i="172" s="1"/>
  <c r="G131" i="172" s="1"/>
  <c r="G106" i="172" l="1"/>
  <c r="G133" i="172" s="1"/>
  <c r="I23" i="158"/>
  <c r="I24" i="158"/>
  <c r="I25" i="158"/>
  <c r="I26" i="158"/>
  <c r="I27" i="158"/>
  <c r="I28" i="158"/>
  <c r="I29" i="158"/>
  <c r="I30" i="158"/>
  <c r="I31" i="158"/>
  <c r="I32" i="158"/>
  <c r="I33" i="158"/>
  <c r="I34" i="158"/>
  <c r="I35" i="158"/>
  <c r="I36" i="158"/>
  <c r="I37" i="158"/>
  <c r="I22" i="158"/>
  <c r="I21" i="158"/>
  <c r="G23" i="158"/>
  <c r="G24" i="158"/>
  <c r="G25" i="158"/>
  <c r="G26" i="158"/>
  <c r="G27" i="158"/>
  <c r="G28" i="158"/>
  <c r="G29" i="158"/>
  <c r="G30" i="158"/>
  <c r="G31" i="158"/>
  <c r="G32" i="158"/>
  <c r="G33" i="158"/>
  <c r="G34" i="158"/>
  <c r="G35" i="158"/>
  <c r="G36" i="158"/>
  <c r="G37" i="158"/>
  <c r="G22" i="158"/>
  <c r="G21" i="158"/>
  <c r="E23" i="158"/>
  <c r="E24" i="158"/>
  <c r="E25" i="158"/>
  <c r="E26" i="158"/>
  <c r="E27" i="158"/>
  <c r="E28" i="158"/>
  <c r="E29" i="158"/>
  <c r="E30" i="158"/>
  <c r="E31" i="158"/>
  <c r="E32" i="158"/>
  <c r="E33" i="158"/>
  <c r="E34" i="158"/>
  <c r="E35" i="158"/>
  <c r="E36" i="158"/>
  <c r="E37" i="158"/>
  <c r="E22" i="158"/>
  <c r="E21" i="158"/>
  <c r="I20" i="158"/>
  <c r="H20" i="158"/>
  <c r="G9" i="158"/>
  <c r="G10" i="158"/>
  <c r="G11" i="158"/>
  <c r="G12" i="158"/>
  <c r="G13" i="158"/>
  <c r="G14" i="158"/>
  <c r="G15" i="158"/>
  <c r="G16" i="158"/>
  <c r="G8" i="158"/>
  <c r="G7" i="158"/>
  <c r="E9" i="158"/>
  <c r="E10" i="158"/>
  <c r="E11" i="158"/>
  <c r="E12" i="158"/>
  <c r="E13" i="158"/>
  <c r="E14" i="158"/>
  <c r="E15" i="158"/>
  <c r="E16" i="158"/>
  <c r="E8" i="158"/>
  <c r="E109" i="158" l="1"/>
  <c r="H39" i="158"/>
  <c r="E109" i="183" s="1"/>
  <c r="G109" i="183" s="1"/>
  <c r="G17" i="158"/>
  <c r="E17" i="158"/>
  <c r="C19" i="158"/>
  <c r="B19" i="158"/>
  <c r="G20" i="158"/>
  <c r="F20" i="158"/>
  <c r="E20" i="158"/>
  <c r="D20" i="158"/>
  <c r="H19" i="158"/>
  <c r="F19" i="158"/>
  <c r="D19" i="158"/>
  <c r="F39" i="158" l="1"/>
  <c r="E109" i="175" s="1"/>
  <c r="E109" i="186"/>
  <c r="G109" i="186" s="1"/>
  <c r="E109" i="182"/>
  <c r="G109" i="182" s="1"/>
  <c r="E109" i="180"/>
  <c r="G109" i="180" s="1"/>
  <c r="E109" i="184"/>
  <c r="G109" i="184" s="1"/>
  <c r="E109" i="181"/>
  <c r="G109" i="181" s="1"/>
  <c r="E109" i="185"/>
  <c r="G109" i="185" s="1"/>
  <c r="E108" i="99"/>
  <c r="E108" i="172"/>
  <c r="E108" i="148"/>
  <c r="E108" i="173"/>
  <c r="E108" i="176"/>
  <c r="G108" i="176" s="1"/>
  <c r="E108" i="178"/>
  <c r="G108" i="178" s="1"/>
  <c r="E108" i="174"/>
  <c r="E108" i="175"/>
  <c r="G113" i="176"/>
  <c r="G113" i="174"/>
  <c r="G113" i="175"/>
  <c r="G113" i="173"/>
  <c r="G112" i="176"/>
  <c r="E109" i="178" l="1"/>
  <c r="G109" i="178" s="1"/>
  <c r="G116" i="178" s="1"/>
  <c r="G134" i="178" s="1"/>
  <c r="G135" i="178" s="1"/>
  <c r="G119" i="178" s="1"/>
  <c r="G120" i="178" s="1"/>
  <c r="E109" i="176"/>
  <c r="G109" i="176" s="1"/>
  <c r="G116" i="176" s="1"/>
  <c r="G134" i="176" s="1"/>
  <c r="G135" i="176" s="1"/>
  <c r="G119" i="176" s="1"/>
  <c r="G120" i="176" s="1"/>
  <c r="E109" i="174"/>
  <c r="E109" i="173"/>
  <c r="E42" i="165" l="1"/>
  <c r="I14" i="158" l="1"/>
  <c r="I15" i="158"/>
  <c r="E54" i="148"/>
  <c r="E55" i="148"/>
  <c r="G60" i="99"/>
  <c r="G115" i="148" l="1"/>
  <c r="D58" i="165"/>
  <c r="D13" i="189" s="1"/>
  <c r="F13" i="189" s="1"/>
  <c r="D55" i="165"/>
  <c r="D10" i="189" s="1"/>
  <c r="F10" i="189" s="1"/>
  <c r="D54" i="165"/>
  <c r="D9" i="189" s="1"/>
  <c r="F9" i="189" s="1"/>
  <c r="D53" i="165"/>
  <c r="D8" i="189" s="1"/>
  <c r="F8" i="189" s="1"/>
  <c r="B20" i="165"/>
  <c r="B47" i="165" l="1"/>
  <c r="B36" i="165"/>
  <c r="B30" i="165"/>
  <c r="F58" i="165"/>
  <c r="F56" i="165"/>
  <c r="F55" i="165"/>
  <c r="F54" i="165"/>
  <c r="F53" i="165"/>
  <c r="B42" i="165"/>
  <c r="B33" i="165"/>
  <c r="B26" i="165" l="1"/>
  <c r="E10" i="165"/>
  <c r="E13" i="165"/>
  <c r="F13" i="165" s="1"/>
  <c r="E9" i="165"/>
  <c r="E8" i="165"/>
  <c r="G113" i="186" l="1"/>
  <c r="G113" i="185"/>
  <c r="G113" i="180"/>
  <c r="F8" i="165"/>
  <c r="F42" i="165"/>
  <c r="G109" i="174" l="1"/>
  <c r="G109" i="175"/>
  <c r="G109" i="173"/>
  <c r="F22" i="99"/>
  <c r="I16" i="158"/>
  <c r="I13" i="158"/>
  <c r="I12" i="158"/>
  <c r="I11" i="158"/>
  <c r="I10" i="158"/>
  <c r="I9" i="158"/>
  <c r="I8" i="158"/>
  <c r="I7" i="158"/>
  <c r="F14" i="165" l="1"/>
  <c r="G22" i="189" s="1"/>
  <c r="G78" i="189" s="1"/>
  <c r="H84" i="189" s="1"/>
  <c r="I17" i="158"/>
  <c r="F17" i="165" l="1"/>
  <c r="D39" i="158" s="1"/>
  <c r="E109" i="172" s="1"/>
  <c r="G109" i="172" s="1"/>
  <c r="E108" i="186"/>
  <c r="G108" i="186" s="1"/>
  <c r="E108" i="185"/>
  <c r="G108" i="185" s="1"/>
  <c r="G116" i="185" s="1"/>
  <c r="G134" i="185" s="1"/>
  <c r="G135" i="185" s="1"/>
  <c r="E108" i="184"/>
  <c r="G108" i="184" s="1"/>
  <c r="G116" i="184" s="1"/>
  <c r="G134" i="184" s="1"/>
  <c r="G135" i="184" s="1"/>
  <c r="G119" i="184" s="1"/>
  <c r="G120" i="184" s="1"/>
  <c r="E108" i="183"/>
  <c r="G108" i="183" s="1"/>
  <c r="G116" i="183" s="1"/>
  <c r="G134" i="183" s="1"/>
  <c r="G135" i="183" s="1"/>
  <c r="E108" i="182"/>
  <c r="G108" i="182" s="1"/>
  <c r="G116" i="182" s="1"/>
  <c r="G134" i="182" s="1"/>
  <c r="G135" i="182" s="1"/>
  <c r="G119" i="182" s="1"/>
  <c r="G120" i="182" s="1"/>
  <c r="E108" i="181"/>
  <c r="G108" i="181" s="1"/>
  <c r="G116" i="181" s="1"/>
  <c r="G134" i="181" s="1"/>
  <c r="G135" i="181" s="1"/>
  <c r="E108" i="180"/>
  <c r="G108" i="180" s="1"/>
  <c r="G25" i="189"/>
  <c r="G113" i="172"/>
  <c r="G112" i="185"/>
  <c r="G112" i="186"/>
  <c r="G112" i="180"/>
  <c r="G110" i="172"/>
  <c r="G110" i="174"/>
  <c r="G112" i="175"/>
  <c r="G112" i="173"/>
  <c r="G111" i="175"/>
  <c r="G111" i="173"/>
  <c r="G111" i="172"/>
  <c r="G111" i="174"/>
  <c r="G108" i="175"/>
  <c r="G108" i="173"/>
  <c r="G110" i="175"/>
  <c r="G110" i="173"/>
  <c r="G112" i="172"/>
  <c r="G112" i="174"/>
  <c r="G108" i="172"/>
  <c r="G108" i="174"/>
  <c r="G108" i="148"/>
  <c r="G111" i="148"/>
  <c r="G116" i="180" l="1"/>
  <c r="G134" i="180" s="1"/>
  <c r="G135" i="180" s="1"/>
  <c r="G116" i="186"/>
  <c r="G134" i="186" s="1"/>
  <c r="G135" i="186" s="1"/>
  <c r="G119" i="186" s="1"/>
  <c r="G120" i="186" s="1"/>
  <c r="E109" i="99"/>
  <c r="E109" i="148"/>
  <c r="G119" i="185"/>
  <c r="G120" i="185" s="1"/>
  <c r="G119" i="183"/>
  <c r="G120" i="183" s="1"/>
  <c r="G119" i="180"/>
  <c r="G120" i="180" s="1"/>
  <c r="G119" i="181"/>
  <c r="G120" i="181" s="1"/>
  <c r="G116" i="172"/>
  <c r="G134" i="172" s="1"/>
  <c r="G116" i="174"/>
  <c r="G134" i="174" s="1"/>
  <c r="G135" i="174" s="1"/>
  <c r="G119" i="174" s="1"/>
  <c r="G120" i="174" s="1"/>
  <c r="G116" i="175"/>
  <c r="G134" i="175" s="1"/>
  <c r="G135" i="175" s="1"/>
  <c r="G119" i="175" s="1"/>
  <c r="G120" i="175"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99" i="148" l="1"/>
  <c r="F100" i="148" s="1"/>
  <c r="F105" i="148" s="1"/>
  <c r="F75" i="148"/>
  <c r="F77" i="148" s="1"/>
  <c r="F86" i="148"/>
  <c r="F102" i="148" s="1"/>
  <c r="F39" i="148"/>
  <c r="F40" i="148" s="1"/>
  <c r="F41" i="148" s="1"/>
  <c r="F65" i="148" s="1"/>
  <c r="F66" i="148"/>
  <c r="F89" i="148"/>
  <c r="G31" i="148"/>
  <c r="G34" i="148" s="1"/>
  <c r="F95" i="148"/>
  <c r="F96" i="148" s="1"/>
  <c r="F104"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G88" i="148"/>
  <c r="G83" i="148"/>
  <c r="G81" i="148"/>
  <c r="G44" i="148"/>
  <c r="H100" i="148" s="1"/>
  <c r="H96" i="148"/>
  <c r="G72" i="148"/>
  <c r="G47" i="148"/>
  <c r="H86" i="148"/>
  <c r="G82" i="148"/>
  <c r="G76" i="148"/>
  <c r="G46" i="148"/>
  <c r="G40" i="148"/>
  <c r="G91" i="148"/>
  <c r="G75" i="148"/>
  <c r="G71" i="148"/>
  <c r="H51" i="148"/>
  <c r="G45" i="148"/>
  <c r="G130" i="148"/>
  <c r="H92" i="148" l="1"/>
  <c r="G41" i="148"/>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72" i="99" l="1"/>
  <c r="F51" i="99"/>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G75" i="172" l="1"/>
  <c r="G77" i="172" s="1"/>
  <c r="G132" i="172" s="1"/>
  <c r="F77" i="172"/>
  <c r="G135" i="172" l="1"/>
  <c r="H77" i="172"/>
  <c r="I106" i="172"/>
  <c r="G119" i="172" l="1"/>
  <c r="G120" i="172" l="1"/>
  <c r="G122" i="99"/>
  <c r="G123" i="99"/>
  <c r="G124" i="99"/>
  <c r="G125" i="99"/>
  <c r="G126" i="99"/>
  <c r="G127" i="99"/>
  <c r="H127" i="99"/>
  <c r="G128" i="99"/>
  <c r="G136" i="99"/>
  <c r="G137" i="99"/>
  <c r="H137" i="99"/>
  <c r="G139" i="99"/>
  <c r="G140" i="99"/>
  <c r="G122" i="173"/>
  <c r="G123" i="173"/>
  <c r="G124" i="173"/>
  <c r="G126" i="173"/>
  <c r="G127" i="173"/>
  <c r="H127" i="173"/>
  <c r="G128" i="173"/>
  <c r="G136" i="173"/>
  <c r="G137" i="173"/>
  <c r="H137" i="173"/>
  <c r="G139" i="173"/>
  <c r="G140" i="173"/>
  <c r="G122" i="180"/>
  <c r="G123" i="180"/>
  <c r="G124" i="180"/>
  <c r="G125" i="180"/>
  <c r="G126" i="180"/>
  <c r="G127" i="180"/>
  <c r="H127" i="180"/>
  <c r="G128" i="180"/>
  <c r="G136" i="180"/>
  <c r="G137" i="180"/>
  <c r="H137" i="180"/>
  <c r="G139" i="180"/>
  <c r="G140" i="180"/>
  <c r="G122" i="172"/>
  <c r="G123" i="172"/>
  <c r="G124" i="172"/>
  <c r="G125" i="172"/>
  <c r="G126" i="172"/>
  <c r="G127" i="172"/>
  <c r="H127" i="172"/>
  <c r="G128" i="172"/>
  <c r="G136" i="172"/>
  <c r="G137" i="172"/>
  <c r="H137" i="172"/>
  <c r="G139" i="172"/>
  <c r="G140" i="172"/>
  <c r="G142" i="172"/>
  <c r="G143" i="172"/>
  <c r="G122" i="175"/>
  <c r="G123" i="175"/>
  <c r="G124" i="175"/>
  <c r="G125" i="175"/>
  <c r="G126" i="175"/>
  <c r="G127" i="175"/>
  <c r="H127" i="175"/>
  <c r="G128" i="175"/>
  <c r="G136" i="175"/>
  <c r="G137" i="175"/>
  <c r="H137" i="175"/>
  <c r="G139" i="175"/>
  <c r="G140" i="175"/>
  <c r="G142" i="175"/>
  <c r="G143" i="175"/>
  <c r="G122" i="185"/>
  <c r="G123" i="185"/>
  <c r="G124" i="185"/>
  <c r="G125" i="185"/>
  <c r="G126" i="185"/>
  <c r="G127" i="185"/>
  <c r="H127" i="185"/>
  <c r="G128" i="185"/>
  <c r="G136" i="185"/>
  <c r="G137" i="185"/>
  <c r="H137" i="185"/>
  <c r="G139" i="185"/>
  <c r="G140" i="185"/>
  <c r="G142" i="185"/>
  <c r="G143" i="185"/>
  <c r="G122" i="183"/>
  <c r="G123" i="183"/>
  <c r="G124" i="183"/>
  <c r="G125" i="183"/>
  <c r="G126" i="183"/>
  <c r="G127" i="183"/>
  <c r="H127" i="183"/>
  <c r="G128" i="183"/>
  <c r="G136" i="183"/>
  <c r="G137" i="183"/>
  <c r="H137" i="183"/>
  <c r="G139" i="183"/>
  <c r="G140" i="183"/>
  <c r="G122" i="184"/>
  <c r="G123" i="184"/>
  <c r="G124" i="184"/>
  <c r="G125" i="184"/>
  <c r="G126" i="184"/>
  <c r="G127" i="184"/>
  <c r="H127" i="184"/>
  <c r="G128" i="184"/>
  <c r="G136" i="184"/>
  <c r="G137" i="184"/>
  <c r="H137" i="184"/>
  <c r="G139" i="184"/>
  <c r="G140" i="184"/>
  <c r="G122" i="176"/>
  <c r="G123" i="176"/>
  <c r="G124" i="176"/>
  <c r="G125" i="176"/>
  <c r="G126" i="176"/>
  <c r="G127" i="176"/>
  <c r="H127" i="176"/>
  <c r="G128" i="176"/>
  <c r="G136" i="176"/>
  <c r="G137" i="176"/>
  <c r="H137" i="176"/>
  <c r="G139" i="176"/>
  <c r="G140" i="176"/>
  <c r="G122" i="186"/>
  <c r="G123" i="186"/>
  <c r="G124" i="186"/>
  <c r="G125" i="186"/>
  <c r="G126" i="186"/>
  <c r="G127" i="186"/>
  <c r="H127" i="186"/>
  <c r="G128" i="186"/>
  <c r="G136" i="186"/>
  <c r="G137" i="186"/>
  <c r="H137" i="186"/>
  <c r="G139" i="186"/>
  <c r="G140" i="186"/>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C8" i="189"/>
  <c r="E8" i="189"/>
  <c r="G8" i="189"/>
  <c r="C9" i="189"/>
  <c r="E9" i="189"/>
  <c r="G9" i="189"/>
  <c r="C10" i="189"/>
  <c r="E10" i="189"/>
  <c r="G10" i="189"/>
  <c r="C11" i="189"/>
  <c r="E11" i="189"/>
  <c r="G11" i="189"/>
  <c r="C12" i="189"/>
  <c r="E12" i="189"/>
  <c r="G12" i="189"/>
  <c r="C13" i="189"/>
  <c r="E13" i="189"/>
  <c r="G13" i="189"/>
  <c r="G14" i="189"/>
  <c r="G15" i="189"/>
  <c r="G18" i="189"/>
  <c r="G19" i="189"/>
  <c r="G20" i="189"/>
  <c r="G21" i="189"/>
  <c r="C30" i="189"/>
  <c r="E30" i="189"/>
  <c r="G30" i="189"/>
  <c r="C31" i="189"/>
  <c r="E31" i="189"/>
  <c r="G31" i="189"/>
  <c r="C32" i="189"/>
  <c r="E32" i="189"/>
  <c r="G32" i="189"/>
  <c r="C33" i="189"/>
  <c r="E33" i="189"/>
  <c r="G33" i="189"/>
  <c r="C34" i="189"/>
  <c r="E34" i="189"/>
  <c r="G34" i="189"/>
  <c r="C35" i="189"/>
  <c r="E35" i="189"/>
  <c r="G35" i="189"/>
  <c r="G36" i="189"/>
  <c r="G37" i="189"/>
  <c r="G40" i="189"/>
  <c r="G41" i="189"/>
  <c r="G42" i="189"/>
  <c r="G43" i="189"/>
  <c r="C54" i="189"/>
  <c r="E54" i="189"/>
  <c r="G54" i="189"/>
  <c r="C55" i="189"/>
  <c r="E55" i="189"/>
  <c r="G55" i="189"/>
  <c r="C56" i="189"/>
  <c r="E56" i="189"/>
  <c r="G56" i="189"/>
  <c r="C57" i="189"/>
  <c r="E57" i="189"/>
  <c r="G57" i="189"/>
  <c r="C58" i="189"/>
  <c r="E58" i="189"/>
  <c r="G58" i="189"/>
  <c r="C59" i="189"/>
  <c r="E59" i="189"/>
  <c r="G59" i="189"/>
  <c r="G60" i="189"/>
  <c r="G61" i="189"/>
  <c r="G64" i="189"/>
  <c r="G65" i="189"/>
  <c r="G66" i="189"/>
  <c r="G67" i="189"/>
  <c r="G77" i="189"/>
  <c r="C20" i="165"/>
  <c r="C21" i="165"/>
  <c r="C22" i="165"/>
  <c r="D26" i="165"/>
  <c r="E26" i="165"/>
  <c r="E27" i="165"/>
  <c r="D30" i="165"/>
  <c r="E30" i="165"/>
  <c r="E31" i="165"/>
  <c r="D33" i="165"/>
  <c r="E33" i="165"/>
  <c r="E34" i="165"/>
  <c r="D36" i="165"/>
  <c r="E36" i="165"/>
  <c r="E37" i="165"/>
  <c r="G42" i="165"/>
  <c r="H42" i="165"/>
  <c r="H43" i="165"/>
  <c r="D47" i="165"/>
  <c r="E47" i="165"/>
  <c r="D48" i="165"/>
  <c r="E48" i="165"/>
  <c r="E49" i="165"/>
  <c r="C53" i="165"/>
  <c r="E53" i="165"/>
  <c r="G53" i="165"/>
  <c r="C54" i="165"/>
  <c r="E54" i="165"/>
  <c r="G54" i="165"/>
  <c r="C55" i="165"/>
  <c r="E55" i="165"/>
  <c r="G55" i="165"/>
  <c r="C56" i="165"/>
  <c r="E56" i="165"/>
  <c r="G56" i="165"/>
  <c r="C57" i="165"/>
  <c r="E57" i="165"/>
  <c r="G57" i="165"/>
  <c r="C58" i="165"/>
  <c r="E58" i="165"/>
  <c r="G58" i="165"/>
  <c r="G59" i="165"/>
  <c r="G60" i="165"/>
  <c r="G63" i="165"/>
  <c r="G64" i="165"/>
  <c r="G65" i="165"/>
  <c r="G66" i="165"/>
  <c r="C22" i="177"/>
  <c r="C23" i="177"/>
  <c r="C24" i="177"/>
  <c r="C25" i="177"/>
  <c r="C26" i="177"/>
  <c r="D30" i="177"/>
  <c r="E30" i="177"/>
  <c r="D31" i="177"/>
  <c r="E31" i="177"/>
  <c r="E32" i="177"/>
  <c r="D35" i="177"/>
  <c r="E35" i="177"/>
  <c r="D36" i="177"/>
  <c r="E36" i="177"/>
  <c r="E37" i="177"/>
  <c r="D39" i="177"/>
  <c r="E39" i="177"/>
  <c r="D40" i="177"/>
  <c r="E40" i="177"/>
  <c r="E41" i="177"/>
  <c r="D43" i="177"/>
  <c r="E43" i="177"/>
  <c r="D44" i="177"/>
  <c r="E44" i="177"/>
  <c r="E45" i="177"/>
  <c r="G50" i="177"/>
  <c r="H50" i="177"/>
  <c r="G51" i="177"/>
  <c r="H51" i="177"/>
  <c r="H52" i="177"/>
  <c r="D56" i="177"/>
  <c r="E56" i="177"/>
  <c r="D57" i="177"/>
  <c r="E57" i="177"/>
  <c r="D58" i="177"/>
  <c r="E58" i="177"/>
  <c r="E59" i="177"/>
  <c r="C63" i="177"/>
  <c r="E63" i="177"/>
  <c r="G63" i="177"/>
  <c r="C64" i="177"/>
  <c r="E64" i="177"/>
  <c r="G64" i="177"/>
  <c r="C65" i="177"/>
  <c r="E65" i="177"/>
  <c r="G65" i="177"/>
  <c r="C66" i="177"/>
  <c r="E66" i="177"/>
  <c r="G66" i="177"/>
  <c r="C67" i="177"/>
  <c r="E67" i="177"/>
  <c r="G67" i="177"/>
  <c r="C68" i="177"/>
  <c r="E68" i="177"/>
  <c r="G68" i="177"/>
  <c r="G69" i="177"/>
  <c r="G70" i="177"/>
  <c r="G73" i="177"/>
  <c r="G74" i="177"/>
  <c r="G75" i="177"/>
  <c r="G76" i="177"/>
  <c r="C24" i="187"/>
  <c r="C25" i="187"/>
  <c r="C26" i="187"/>
  <c r="C27" i="187"/>
  <c r="C28" i="187"/>
  <c r="C29" i="187"/>
  <c r="C30" i="187"/>
  <c r="D34" i="187"/>
  <c r="E34" i="187"/>
  <c r="D35" i="187"/>
  <c r="E35" i="187"/>
  <c r="E36" i="187"/>
  <c r="D39" i="187"/>
  <c r="E39" i="187"/>
  <c r="D40" i="187"/>
  <c r="E40" i="187"/>
  <c r="D41" i="187"/>
  <c r="E41" i="187"/>
  <c r="E42" i="187"/>
  <c r="D44" i="187"/>
  <c r="E44" i="187"/>
  <c r="D45" i="187"/>
  <c r="E45" i="187"/>
  <c r="E46" i="187"/>
  <c r="D48" i="187"/>
  <c r="E48" i="187"/>
  <c r="D49" i="187"/>
  <c r="E49" i="187"/>
  <c r="E50" i="187"/>
  <c r="G55" i="187"/>
  <c r="H55" i="187"/>
  <c r="G56" i="187"/>
  <c r="H56" i="187"/>
  <c r="H57" i="187"/>
  <c r="D61" i="187"/>
  <c r="E61" i="187"/>
  <c r="D62" i="187"/>
  <c r="E62" i="187"/>
  <c r="D63" i="187"/>
  <c r="E63" i="187"/>
  <c r="D64" i="187"/>
  <c r="E64" i="187"/>
  <c r="E65" i="187"/>
  <c r="C69" i="187"/>
  <c r="E69" i="187"/>
  <c r="G69" i="187"/>
  <c r="C70" i="187"/>
  <c r="E70" i="187"/>
  <c r="G70" i="187"/>
  <c r="C71" i="187"/>
  <c r="E71" i="187"/>
  <c r="G71" i="187"/>
  <c r="C72" i="187"/>
  <c r="E72" i="187"/>
  <c r="G72" i="187"/>
  <c r="C73" i="187"/>
  <c r="E73" i="187"/>
  <c r="G73" i="187"/>
  <c r="C74" i="187"/>
  <c r="E74" i="187"/>
  <c r="G74" i="187"/>
  <c r="G75" i="187"/>
  <c r="G76" i="187"/>
  <c r="G79" i="187"/>
  <c r="G80" i="187"/>
  <c r="G81" i="187"/>
  <c r="G82" i="187"/>
  <c r="G122" i="178"/>
  <c r="G123" i="178"/>
  <c r="G124" i="178"/>
  <c r="G125" i="178"/>
  <c r="G126" i="178"/>
  <c r="G127" i="178"/>
  <c r="H127" i="178"/>
  <c r="G128" i="178"/>
  <c r="G136" i="178"/>
  <c r="G137" i="178"/>
  <c r="H137" i="178"/>
  <c r="G139" i="178"/>
  <c r="G140" i="178"/>
  <c r="G122" i="182"/>
  <c r="G123" i="182"/>
  <c r="G124" i="182"/>
  <c r="G125" i="182"/>
  <c r="G126" i="182"/>
  <c r="G127" i="182"/>
  <c r="H127" i="182"/>
  <c r="G128" i="182"/>
  <c r="G136" i="182"/>
  <c r="G137" i="182"/>
  <c r="H137" i="182"/>
  <c r="G139" i="182"/>
  <c r="G140" i="182"/>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7.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8.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1.xml><?xml version="1.0" encoding="utf-8"?>
<comments xmlns="http://schemas.openxmlformats.org/spreadsheetml/2006/main">
  <authors>
    <author>Henrique da Silva Sales Vaz Pinto</author>
    <author>Rosiane de Oliveira</author>
    <author>Rogerio Rodrigues Pontes</author>
  </authors>
  <commentList>
    <comment ref="F54" authorId="0" shapeId="0">
      <text>
        <r>
          <rPr>
            <b/>
            <sz val="9"/>
            <color indexed="81"/>
            <rFont val="Segoe UI"/>
            <family val="2"/>
          </rPr>
          <t>Henrique Sales:</t>
        </r>
        <r>
          <rPr>
            <sz val="9"/>
            <color indexed="81"/>
            <rFont val="Segoe UI"/>
            <family val="2"/>
          </rPr>
          <t xml:space="preserve">
O quantitativo de Ticket não poderá ser menor que 25, conforme clausula decima setima da CCT 2025</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2"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Henrique da Silva Sales Vaz Pinto</author>
    <author>Rosiane de Oliveira</author>
    <author>Rogerio Rodrigues Pontes</author>
  </authors>
  <commentList>
    <comment ref="F18" authorId="0" shapeId="0">
      <text>
        <r>
          <rPr>
            <b/>
            <sz val="9"/>
            <color indexed="81"/>
            <rFont val="Segoe UI"/>
            <family val="2"/>
          </rPr>
          <t>Henrique Sales:</t>
        </r>
        <r>
          <rPr>
            <sz val="9"/>
            <color indexed="81"/>
            <rFont val="Segoe UI"/>
            <family val="2"/>
          </rPr>
          <t xml:space="preserve">
Utilizado o salário de Operador de Roçadeira / Operador de Micro Trator</t>
        </r>
      </text>
    </comment>
    <comment ref="F54" authorId="0" shapeId="0">
      <text>
        <r>
          <rPr>
            <b/>
            <sz val="9"/>
            <color indexed="81"/>
            <rFont val="Segoe UI"/>
            <family val="2"/>
          </rPr>
          <t>Henrique Sales:</t>
        </r>
        <r>
          <rPr>
            <sz val="9"/>
            <color indexed="81"/>
            <rFont val="Segoe UI"/>
            <family val="2"/>
          </rPr>
          <t xml:space="preserve">
O quantitativo de Ticket não poderá ser menor que 25, conforme clausula decima setima da CCT 2025</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2"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4.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5.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<sst xmlns="http://schemas.openxmlformats.org/spreadsheetml/2006/main" count="3933" uniqueCount="505">
  <si>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</si>
  <si>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</si>
  <si>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</si>
  <si>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</si>
  <si>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</si>
  <si>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</si>
  <si>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</si>
  <si>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</si>
  <si>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</si>
  <si>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</si>
  <si>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</si>
  <si>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</si>
  <si>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</si>
  <si>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</si>
  <si>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</si>
  <si>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</si>
  <si>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</si>
  <si>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</si>
  <si>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</si>
  <si>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</si>
  <si>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</si>
  <si>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</si>
  <si>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</si>
  <si>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</si>
  <si>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</si>
  <si>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</si>
  <si>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</si>
  <si>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</si>
  <si>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</si>
  <si>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</si>
  <si>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</si>
  <si>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</si>
  <si>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</si>
  <si>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</si>
  <si>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</si>
  <si>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</si>
  <si>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</si>
  <si>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</si>
  <si>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</si>
  <si>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</si>
  <si>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</si>
  <si>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</si>
  <si>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</si>
  <si>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</si>
  <si>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</si>
  <si>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</si>
  <si>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</si>
  <si>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</si>
  <si>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</si>
  <si>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</si>
  <si>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</si>
  <si>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</si>
  <si>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</si>
  <si>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</si>
  <si>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</si>
  <si>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</si>
  <si>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</si>
  <si>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</si>
  <si>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</si>
  <si>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</si>
  <si>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</si>
  <si>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</si>
  <si>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</si>
  <si>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</si>
  <si>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</si>
  <si>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</si>
  <si>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</si>
  <si>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</si>
  <si>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</si>
  <si>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</si>
  <si>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</si>
  <si>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</si>
  <si>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</si>
  <si>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</si>
  <si>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</si>
  <si>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</si>
  <si>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</si>
  <si>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</si>
  <si>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</si>
  <si>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</si>
  <si>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</si>
  <si>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</si>
  <si>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</si>
  <si>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</si>
  <si>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</si>
  <si>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</si>
  <si>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</si>
  <si>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</si>
  <si>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</si>
  <si>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</si>
  <si>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</si>
  <si>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</si>
  <si>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</si>
  <si>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</si>
  <si>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</si>
  <si>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</si>
  <si>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</si>
  <si>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</si>
  <si>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</si>
  <si>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</si>
  <si>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</si>
  <si>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</si>
  <si>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</si>
  <si>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</si>
  <si>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</si>
  <si>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</si>
  <si>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</si>
  <si>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</si>
  <si>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</si>
  <si>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</si>
  <si>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</si>
  <si>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</si>
  <si>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</si>
  <si>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</si>
  <si>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</si>
  <si>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</si>
  <si>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</si>
  <si>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</si>
  <si>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</si>
  <si>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</si>
  <si>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</si>
  <si>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</si>
  <si>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</si>
  <si>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</si>
  <si>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</si>
  <si>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</si>
  <si>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</si>
  <si>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</si>
  <si>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</si>
  <si>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</si>
  <si>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</si>
  <si>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</si>
  <si>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</si>
  <si>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</si>
  <si>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</si>
  <si>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</si>
  <si>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</si>
  <si>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</si>
  <si>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</si>
  <si>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</si>
  <si>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</si>
  <si>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</si>
  <si>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</si>
  <si>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</si>
  <si>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</si>
  <si>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</si>
  <si>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</si>
  <si>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</si>
  <si>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</si>
  <si>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</si>
  <si>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</si>
  <si>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</si>
  <si>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</si>
  <si>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</si>
  <si>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</si>
  <si>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</si>
  <si>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</si>
  <si>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</si>
  <si>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</si>
  <si>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</si>
  <si>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</si>
  <si>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</si>
  <si>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</si>
  <si>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</si>
  <si>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</si>
  <si>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</si>
  <si>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</si>
  <si>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</si>
  <si>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</si>
  <si>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</si>
  <si>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</si>
  <si>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</si>
  <si>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</si>
  <si>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</si>
  <si>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</si>
  <si>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</si>
  <si>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</si>
  <si>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</si>
  <si>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</si>
  <si>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</si>
  <si>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</si>
  <si>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</si>
  <si>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</si>
  <si>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</si>
  <si>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</si>
  <si>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</si>
  <si>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</si>
  <si>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</si>
  <si>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</si>
  <si>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</si>
  <si>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</si>
  <si>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</si>
  <si>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</si>
  <si>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</si>
  <si>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</si>
  <si>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</si>
  <si>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</si>
  <si>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</si>
  <si>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</si>
  <si>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</si>
  <si>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</si>
  <si>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</si>
  <si>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</si>
  <si>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</si>
  <si>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</si>
  <si>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</si>
  <si>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</si>
  <si>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</si>
  <si>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</si>
  <si>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</si>
  <si>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</si>
  <si>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</si>
  <si>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</si>
  <si>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</si>
  <si>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</si>
  <si>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</si>
  <si>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</si>
  <si>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</si>
  <si>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</si>
  <si>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</si>
  <si>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</si>
  <si>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</si>
  <si>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</si>
  <si>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</si>
  <si>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</si>
  <si>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</si>
  <si>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</si>
  <si>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</si>
  <si>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</si>
  <si>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</si>
  <si>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</si>
  <si>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</si>
  <si>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</si>
  <si>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</si>
  <si>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</si>
  <si>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</si>
  <si>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</si>
  <si>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</si>
  <si>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</si>
  <si>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</si>
  <si>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</si>
  <si>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</si>
  <si>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</si>
  <si>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</si>
  <si>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</si>
  <si>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</si>
  <si>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</si>
  <si>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</si>
  <si>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</si>
  <si>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</si>
  <si>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</si>
  <si>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</si>
  <si>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</si>
  <si>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</si>
  <si>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</si>
  <si>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</si>
  <si>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</si>
  <si>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</si>
  <si>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</si>
  <si>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</si>
  <si>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</si>
  <si>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</si>
  <si>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</si>
  <si>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</si>
  <si>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</si>
  <si>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</si>
  <si>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</si>
  <si>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</si>
  <si>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</si>
  <si>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</si>
  <si>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</si>
  <si>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</si>
  <si>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</si>
  <si>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</si>
  <si>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</si>
  <si>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</si>
  <si>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</si>
  <si>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</si>
  <si>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</si>
  <si>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</si>
  <si>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</si>
  <si>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</si>
  <si>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</si>
  <si>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</si>
  <si>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</si>
  <si>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</si>
  <si>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</si>
  <si>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</si>
  <si>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</si>
  <si>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</si>
  <si>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</si>
  <si>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</si>
  <si>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</si>
  <si>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</si>
  <si>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</si>
  <si>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</si>
  <si>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</si>
  <si>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</si>
  <si>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</si>
  <si>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</si>
  <si>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</si>
  <si>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</si>
  <si>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</si>
  <si>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</si>
  <si>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</si>
  <si>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</si>
  <si>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</si>
  <si>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</si>
  <si>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</si>
  <si>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</si>
  <si>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</si>
  <si>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</si>
  <si>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</si>
  <si>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</si>
  <si>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</si>
  <si>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</si>
  <si>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</si>
  <si>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</si>
  <si>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</si>
  <si>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</si>
  <si>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</si>
  <si>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</si>
  <si>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</si>
  <si>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</si>
  <si>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</si>
  <si>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</si>
  <si>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</si>
  <si>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</si>
  <si>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</si>
  <si>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</si>
  <si>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</si>
  <si>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</si>
  <si>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</si>
  <si>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</si>
  <si>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</si>
  <si>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</si>
  <si>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</si>
  <si>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</si>
  <si>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</si>
  <si>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</si>
  <si>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</si>
  <si>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</si>
  <si>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</si>
  <si>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</si>
  <si>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</si>
  <si>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</si>
  <si>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</si>
  <si>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</si>
  <si>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</si>
  <si>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</si>
  <si>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</si>
  <si>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</si>
  <si>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</si>
  <si>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</si>
  <si>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</si>
  <si>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</si>
  <si>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</si>
  <si>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</si>
  <si>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</si>
  <si>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</si>
  <si>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</si>
  <si>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</si>
  <si>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</si>
  <si>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</si>
  <si>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</si>
  <si>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</si>
  <si>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</si>
  <si>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</si>
  <si>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</si>
  <si>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</si>
  <si>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</si>
  <si>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</si>
  <si>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</si>
  <si>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</si>
  <si>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</si>
  <si>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</si>
  <si>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</si>
  <si>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</si>
  <si>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</si>
  <si>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</si>
  <si>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</si>
  <si>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</si>
  <si>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</si>
  <si>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</si>
  <si>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</si>
  <si>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</si>
  <si>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</si>
  <si>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</si>
  <si>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</si>
  <si>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CEARA</t>
  </si>
  <si>
    <t>Valor</t>
  </si>
  <si>
    <t>CEBAU</t>
  </si>
  <si>
    <t>CERIB</t>
  </si>
  <si>
    <t>MATERIAIS E UTENSÍLIOS - Jardinagem</t>
  </si>
  <si>
    <t>OBJETO: PRESTAÇÃO DE SERVIÇOS DE LIMPEZA, CONSERVAÇÃO E HIGIENIZAÇÃO EM DIVERSOS ENTREPOSTO DO INTERIOR</t>
  </si>
  <si>
    <t>ARARAQUARA/SP</t>
  </si>
  <si>
    <t>Sindicato: SELUR - SINDICATO DAS EMPRESAS DE LIMPEZA URBANA NO EST S PAULO E SIEMACO-SP -SINDICATO TRABALHADORES EMPRESAS PRESTACAO DE SERVICOS DE ASSEIO E CONSERVACAO E LIMPEZA URBANA DE SP</t>
  </si>
  <si>
    <t>Limpeza e Conservação</t>
  </si>
  <si>
    <t>Ajudante de Serviços Diversos</t>
  </si>
  <si>
    <t>5143-25</t>
  </si>
  <si>
    <t xml:space="preserve">Salário </t>
  </si>
  <si>
    <t xml:space="preserve">Ferias e terço  constitucional </t>
  </si>
  <si>
    <t>Assistencia Médica e Odontólogica</t>
  </si>
  <si>
    <t>Dia do Trabalhador</t>
  </si>
  <si>
    <t>Multa do FGTS sobre o Aviso Prévio Indenizado</t>
  </si>
  <si>
    <t xml:space="preserve">Intrajornada Cobertura de Feriados, Dias Ponte, e outros </t>
  </si>
  <si>
    <t>2024 / 2025</t>
  </si>
  <si>
    <t>Benefícios Sociais</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</si>
  <si>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</si>
  <si>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</si>
  <si>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</si>
  <si>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</si>
  <si>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</si>
  <si>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</si>
  <si>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</si>
  <si>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</si>
  <si>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</si>
  <si>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BAURU/SP</t>
  </si>
  <si>
    <t>Posto de trabalho: De 2ª à 6ª início às 08:00 - (com intervalo para refeição)</t>
  </si>
  <si>
    <t>Encarregado</t>
  </si>
  <si>
    <t>Tratorista</t>
  </si>
  <si>
    <t>6410-15</t>
  </si>
  <si>
    <t>4101-05</t>
  </si>
  <si>
    <t>ENTREPOSTO DE BAURU/SP - CEBAU</t>
  </si>
  <si>
    <t>Posto de trabalho: 2ª à 6ª início às 08:00 (com intervalo para refeição)</t>
  </si>
  <si>
    <t>Ajudante de Tratorista</t>
  </si>
  <si>
    <t>9922-25</t>
  </si>
  <si>
    <t>Buerista</t>
  </si>
  <si>
    <t>RIBEIRÃO PRETO/SP</t>
  </si>
  <si>
    <t>Ribeirão Preto/SP</t>
  </si>
  <si>
    <t>Posto de Trabalho: 2ª à 6ª início às 08:00 - (com intervalo para refeição)</t>
  </si>
  <si>
    <t>J</t>
  </si>
  <si>
    <t>TOTAL (M²)</t>
  </si>
  <si>
    <t>Posto de trabalho: 2ª à 6ª início às 08:00 / Sábado (4h) início às 08:00 (com intervalo para refeição)</t>
  </si>
  <si>
    <t>Posto de trabalho: De 2ª à 6ª início às 07:00 e Domingo (2h) início às 15:00 - (com intervalo para refeição)</t>
  </si>
  <si>
    <t>ENTREPOSTO DE ARARAQUARA/SP - CEARA</t>
  </si>
  <si>
    <t>Posto de trabalho: 2ª a 6ª feira (Diversos Turnos) e Sábado (4h) início às 08:00 - (com intervalo para refeição)</t>
  </si>
  <si>
    <t>Posto de Trabalho: 2ª à 6ª início às 08:00 / Sábado (4h) início às 08:00 - (com intervalo para refeição)</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</si>
  <si>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</si>
  <si>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</si>
  <si>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</si>
  <si>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</si>
  <si>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</si>
  <si>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</si>
  <si>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</si>
  <si>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</si>
  <si>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PROCESSO Nº 125/2025 (Lote 01)</t>
  </si>
  <si>
    <t>OBJETO: PRESTAÇÃO DE SERVIÇOS DE LIMPEZA, CONSERVAÇÃO E APOIO OPERACIONAL PARA ENTREPOSTOS DO INTERIOR</t>
  </si>
  <si>
    <t>TOTAL MENSAL POR POSTO</t>
  </si>
  <si>
    <t>LOTE 01</t>
  </si>
  <si>
    <t>Posto de Trabalho: 2ª, 4ª e 6ª início às 06:00 / 3ª e 5ª início às 08:00 / Sábado (4h) início às 08:00 - (com intervalo para refeição)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</si>
  <si>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</si>
  <si>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</si>
  <si>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</si>
  <si>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</si>
  <si>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</si>
  <si>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</si>
  <si>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</si>
  <si>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</si>
  <si>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</si>
  <si>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</si>
  <si>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</si>
  <si>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</si>
  <si>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Ajudante de Serviços Diversos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</si>
  <si>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</si>
  <si>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</si>
  <si>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</si>
  <si>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</si>
  <si>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</si>
  <si>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</si>
  <si>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</si>
  <si>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</si>
  <si>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</si>
  <si>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</si>
  <si>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Total do posto de Ajudante de Serviços Diversos - Período de 12 meses (R$)</t>
  </si>
  <si>
    <t>Posto de Trabalho: 2ª a 6ª feira (Diversos Turnos) - (com intervalo para refeição)</t>
  </si>
  <si>
    <t>ENTREPOSTO DE RIBEIRÃO PRETO/SP - CERIB</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</si>
  <si>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</si>
  <si>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</si>
  <si>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VEÍCULOS, MÁQUINAS E EQUIPAMENTOS (Uso Geral)</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</si>
  <si>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</si>
  <si>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</si>
  <si>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</si>
  <si>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PROCESSO Nº 125/2025 (LOTE 01)</t>
  </si>
  <si>
    <t>MÁQUINAS E EQUIPAMENTOS (Limpeza e Conservação)</t>
  </si>
  <si>
    <t>MÁQUINAS E EQUIPAMENTOS (Jardinagem)</t>
  </si>
  <si>
    <t>C.5</t>
  </si>
  <si>
    <t>2025/2026</t>
  </si>
  <si>
    <t>Ano do acordo, convenção ou dissídio coletivo:</t>
  </si>
  <si>
    <t>,</t>
  </si>
  <si>
    <t>2025 / 2026</t>
  </si>
  <si>
    <t>CONSIDERAR LIMPEZA DA ÁREA EXTERNA SEMANALMENTE</t>
  </si>
  <si>
    <t>TOTAL GERAL ANUAL - LOTE 01</t>
  </si>
  <si>
    <t>TOTAL AGENTE DE HIGIENIZAÇÃO - LOTE 01</t>
  </si>
  <si>
    <t>TOTAL JARDINEIRO - LOTE 01</t>
  </si>
  <si>
    <t>TOTAL TRATORISTA - LOTE 01</t>
  </si>
  <si>
    <t>TOTAL AJUDANTE DE TRATORISTA - LOTE 01</t>
  </si>
  <si>
    <t>TOTAL BUERISTA - LOTE 01</t>
  </si>
  <si>
    <t>TOTAL AJUDANTE DE SERVIÇOS DIVERSOS - LOTE 01</t>
  </si>
  <si>
    <t>TOTAL ENCARREGADO - LOTE 01</t>
  </si>
  <si>
    <t>PROCESSO Nº 125/2025 - LOTE 01</t>
  </si>
  <si>
    <t>Encarregado de Limpeza</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</si>
  <si>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</si>
  <si>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LICITANTE - CÁLCULO VALOR M²</t>
  </si>
  <si>
    <t>QUADRO RESUMO GERAL - PROPOSTA LICITANTE</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</si>
</sst>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b/>
      <u/>
      <sz val="12"/>
      <color theme="9"/>
      <name val="Arial"/>
      <family val="2"/>
    </font>
    <font>
      <u/>
      <sz val="12"/>
      <name val="Arial"/>
      <family val="2"/>
    </font>
    <font>
      <b/>
      <strike/>
      <sz val="10"/>
      <name val="Arial Narrow"/>
      <family val="2"/>
    </font>
  </fonts>
  <fills count="73">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theme="9" tint="0.59999389629810485"/>
        <bgColor indexed="64"/>
      </patternFill>
    </fill>
    <fill>
      <patternFill patternType="solid">
        <fgColor theme="9" tint="0.59999389629810485"/>
        <bgColor indexed="41"/>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s>
  <borders count="30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thin">
        <color indexed="8"/>
      </top>
      <bottom style="thin">
        <color indexed="64"/>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8"/>
      </top>
      <bottom/>
      <diagonal/>
    </border>
    <border>
      <left style="thin">
        <color indexed="64"/>
      </left>
      <right style="thin">
        <color indexed="64"/>
      </right>
      <top style="thin">
        <color indexed="8"/>
      </top>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bottom style="medium">
        <color auto="1"/>
      </bottom>
      <diagonal/>
    </border>
    <border>
      <left/>
      <right style="medium">
        <color auto="1"/>
      </right>
      <top/>
      <bottom style="medium">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right/>
      <top style="medium">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style="medium">
        <color auto="1"/>
      </top>
      <bottom style="thin">
        <color auto="1"/>
      </bottom>
      <diagonal/>
    </border>
    <border>
      <left style="medium">
        <color indexed="64"/>
      </left>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diagonal/>
    </border>
    <border>
      <left style="medium">
        <color indexed="64"/>
      </left>
      <right/>
      <top style="medium">
        <color auto="1"/>
      </top>
      <bottom/>
      <diagonal/>
    </border>
    <border>
      <left/>
      <right style="medium">
        <color indexed="64"/>
      </right>
      <top style="medium">
        <color indexed="64"/>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auto="1"/>
      </right>
      <top style="thin">
        <color auto="1"/>
      </top>
      <bottom/>
      <diagonal/>
    </border>
    <border>
      <left style="medium">
        <color indexed="64"/>
      </left>
      <right/>
      <top style="thin">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192">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6"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39" xfId="0" applyFont="1" applyFill="1" applyBorder="1" applyAlignment="1">
      <alignment horizontal="justify" vertical="center" wrapText="1"/>
    </xf>
    <xf numFmtId="0" fontId="42" fillId="48" borderId="39" xfId="0" applyFont="1" applyFill="1" applyBorder="1" applyAlignment="1">
      <alignment horizontal="justify" vertical="center" wrapText="1"/>
    </xf>
    <xf numFmtId="0" fontId="42" fillId="0" borderId="39" xfId="0" applyFont="1" applyFill="1" applyBorder="1" applyAlignment="1">
      <alignment horizontal="center" vertical="center" wrapText="1"/>
    </xf>
    <xf numFmtId="0" fontId="28" fillId="31" borderId="43" xfId="49" applyFont="1" applyFill="1" applyBorder="1" applyAlignment="1" applyProtection="1">
      <alignment horizontal="center" vertical="center"/>
    </xf>
    <xf numFmtId="166" fontId="28" fillId="31" borderId="44" xfId="50" applyFont="1" applyFill="1" applyBorder="1" applyAlignment="1" applyProtection="1">
      <alignment horizontal="center" vertical="center"/>
    </xf>
    <xf numFmtId="0" fontId="29" fillId="0" borderId="34" xfId="0" applyFont="1" applyBorder="1" applyAlignment="1">
      <alignment horizontal="center"/>
    </xf>
    <xf numFmtId="0" fontId="29" fillId="0" borderId="54" xfId="0" applyFont="1" applyBorder="1" applyAlignment="1" applyProtection="1">
      <alignment horizontal="center" vertical="center"/>
    </xf>
    <xf numFmtId="166" fontId="29" fillId="0" borderId="55" xfId="50" applyFont="1" applyBorder="1" applyAlignment="1" applyProtection="1">
      <alignment vertical="center"/>
    </xf>
    <xf numFmtId="10" fontId="29" fillId="0" borderId="54" xfId="0" applyNumberFormat="1" applyFont="1" applyBorder="1" applyAlignment="1" applyProtection="1">
      <alignment horizontal="center" vertical="center"/>
    </xf>
    <xf numFmtId="166" fontId="28" fillId="32" borderId="44" xfId="50" applyFont="1" applyFill="1" applyBorder="1" applyAlignment="1" applyProtection="1">
      <alignment vertical="center"/>
    </xf>
    <xf numFmtId="10" fontId="29" fillId="0" borderId="54"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39"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3" xfId="0" applyFont="1" applyBorder="1" applyAlignment="1" applyProtection="1">
      <alignment horizontal="center" vertical="center"/>
    </xf>
    <xf numFmtId="170" fontId="28" fillId="32" borderId="44" xfId="0" applyNumberFormat="1" applyFont="1" applyFill="1" applyBorder="1" applyAlignment="1" applyProtection="1">
      <alignment horizontal="right" vertical="center"/>
    </xf>
    <xf numFmtId="170" fontId="29" fillId="0" borderId="55" xfId="50" applyNumberFormat="1" applyFont="1" applyBorder="1" applyAlignment="1" applyProtection="1">
      <alignment vertical="center"/>
    </xf>
    <xf numFmtId="44" fontId="29" fillId="0" borderId="54" xfId="49" applyNumberFormat="1" applyFont="1" applyFill="1" applyBorder="1" applyAlignment="1" applyProtection="1">
      <alignment horizontal="center" vertical="center"/>
    </xf>
    <xf numFmtId="0" fontId="29" fillId="0" borderId="54" xfId="0" applyNumberFormat="1" applyFont="1" applyBorder="1" applyAlignment="1" applyProtection="1">
      <alignment horizontal="center" vertical="center"/>
    </xf>
    <xf numFmtId="0" fontId="29" fillId="0" borderId="54"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5" xfId="49" applyNumberFormat="1" applyFont="1" applyFill="1" applyBorder="1" applyAlignment="1" applyProtection="1">
      <alignment horizontal="right" vertical="center"/>
    </xf>
    <xf numFmtId="10" fontId="29" fillId="0" borderId="54"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0" xfId="50" applyNumberFormat="1" applyFont="1" applyBorder="1" applyAlignment="1" applyProtection="1">
      <alignment vertical="center"/>
    </xf>
    <xf numFmtId="170" fontId="28" fillId="32" borderId="40" xfId="49" applyNumberFormat="1" applyFont="1" applyFill="1" applyBorder="1" applyAlignment="1" applyProtection="1">
      <alignment horizontal="right" vertical="center"/>
    </xf>
    <xf numFmtId="170" fontId="28" fillId="32" borderId="44" xfId="49" applyNumberFormat="1" applyFont="1" applyFill="1" applyBorder="1" applyAlignment="1" applyProtection="1">
      <alignment horizontal="right" vertical="center"/>
    </xf>
    <xf numFmtId="10" fontId="29" fillId="0" borderId="54" xfId="35" applyNumberFormat="1" applyFont="1" applyBorder="1" applyAlignment="1" applyProtection="1">
      <alignment horizontal="center" vertical="center"/>
    </xf>
    <xf numFmtId="10" fontId="28" fillId="0" borderId="36" xfId="35" applyNumberFormat="1" applyFont="1" applyFill="1" applyBorder="1" applyAlignment="1" applyProtection="1">
      <alignment horizontal="center" vertical="center"/>
    </xf>
    <xf numFmtId="170" fontId="28" fillId="0" borderId="40" xfId="50" applyNumberFormat="1" applyFont="1" applyBorder="1" applyAlignment="1" applyProtection="1">
      <alignment vertical="center"/>
    </xf>
    <xf numFmtId="0" fontId="29" fillId="25" borderId="34" xfId="49"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57" xfId="0" applyFont="1" applyFill="1" applyBorder="1" applyAlignment="1">
      <alignment vertical="center"/>
    </xf>
    <xf numFmtId="174" fontId="33" fillId="0" borderId="33" xfId="0" applyNumberFormat="1" applyFont="1" applyFill="1" applyBorder="1" applyAlignment="1">
      <alignment horizontal="right"/>
    </xf>
    <xf numFmtId="166" fontId="33" fillId="0" borderId="33" xfId="0" applyNumberFormat="1" applyFont="1" applyFill="1" applyBorder="1" applyAlignment="1">
      <alignment horizontal="center"/>
    </xf>
    <xf numFmtId="1" fontId="32" fillId="41" borderId="60" xfId="0" applyNumberFormat="1" applyFont="1" applyFill="1" applyBorder="1" applyAlignment="1">
      <alignment horizontal="center" vertical="center"/>
    </xf>
    <xf numFmtId="0" fontId="28" fillId="43" borderId="72" xfId="0" applyFont="1" applyFill="1" applyBorder="1" applyAlignment="1">
      <alignment horizontal="center" vertical="center" wrapText="1"/>
    </xf>
    <xf numFmtId="0" fontId="28" fillId="47" borderId="57"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3" xfId="0" applyFont="1" applyFill="1" applyBorder="1" applyAlignment="1">
      <alignment vertical="center"/>
    </xf>
    <xf numFmtId="166" fontId="33" fillId="0" borderId="74" xfId="65" applyFont="1" applyFill="1" applyBorder="1" applyAlignment="1" applyProtection="1"/>
    <xf numFmtId="0" fontId="33" fillId="42" borderId="74" xfId="0" applyFont="1" applyFill="1" applyBorder="1"/>
    <xf numFmtId="43" fontId="33" fillId="42" borderId="74" xfId="0" applyNumberFormat="1" applyFont="1" applyFill="1" applyBorder="1"/>
    <xf numFmtId="166" fontId="33" fillId="42" borderId="0" xfId="0" applyNumberFormat="1" applyFont="1" applyFill="1"/>
    <xf numFmtId="0" fontId="29" fillId="0" borderId="63" xfId="0" applyFont="1" applyFill="1" applyBorder="1" applyAlignment="1">
      <alignment horizontal="center" vertical="center"/>
    </xf>
    <xf numFmtId="0" fontId="29" fillId="0" borderId="65" xfId="0" applyFont="1" applyFill="1" applyBorder="1"/>
    <xf numFmtId="0" fontId="35" fillId="40" borderId="62"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0" xfId="0" applyNumberFormat="1" applyFont="1" applyFill="1" applyBorder="1" applyAlignment="1">
      <alignment horizontal="center" vertical="center"/>
    </xf>
    <xf numFmtId="0" fontId="29" fillId="0" borderId="96" xfId="0" applyFont="1" applyFill="1" applyBorder="1"/>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29" fillId="0" borderId="98" xfId="0" applyFont="1" applyBorder="1" applyAlignment="1">
      <alignment horizontal="center"/>
    </xf>
    <xf numFmtId="0" fontId="32" fillId="16" borderId="102" xfId="0" applyFont="1" applyFill="1" applyBorder="1" applyAlignment="1">
      <alignment vertical="center"/>
    </xf>
    <xf numFmtId="0" fontId="32" fillId="0" borderId="80" xfId="0" applyFont="1" applyBorder="1" applyAlignment="1">
      <alignment vertical="center"/>
    </xf>
    <xf numFmtId="0" fontId="28" fillId="43" borderId="109" xfId="0" applyFont="1" applyFill="1" applyBorder="1" applyAlignment="1">
      <alignment horizontal="center" vertical="center" wrapText="1"/>
    </xf>
    <xf numFmtId="0" fontId="28" fillId="43" borderId="110" xfId="0" applyFont="1" applyFill="1" applyBorder="1" applyAlignment="1">
      <alignment horizontal="center" vertical="center" wrapText="1"/>
    </xf>
    <xf numFmtId="0" fontId="28" fillId="47" borderId="102" xfId="0" applyFont="1" applyFill="1" applyBorder="1" applyAlignment="1">
      <alignment vertical="center"/>
    </xf>
    <xf numFmtId="0" fontId="33" fillId="42" borderId="100" xfId="0" applyFont="1" applyFill="1" applyBorder="1"/>
    <xf numFmtId="43" fontId="33" fillId="42" borderId="100" xfId="0" applyNumberFormat="1" applyFont="1" applyFill="1" applyBorder="1"/>
    <xf numFmtId="166" fontId="33" fillId="0" borderId="100" xfId="65" applyFont="1" applyFill="1" applyBorder="1" applyAlignment="1" applyProtection="1"/>
    <xf numFmtId="0" fontId="28" fillId="47" borderId="111" xfId="0" applyFont="1" applyFill="1" applyBorder="1" applyAlignment="1">
      <alignment vertical="center"/>
    </xf>
    <xf numFmtId="166" fontId="33" fillId="0" borderId="112" xfId="65" applyFont="1" applyFill="1" applyBorder="1" applyAlignment="1" applyProtection="1"/>
    <xf numFmtId="0" fontId="33" fillId="42" borderId="112" xfId="0" applyFont="1" applyFill="1" applyBorder="1"/>
    <xf numFmtId="1" fontId="32" fillId="46" borderId="93" xfId="0" applyNumberFormat="1" applyFont="1" applyFill="1" applyBorder="1" applyAlignment="1">
      <alignment horizontal="center" vertical="center"/>
    </xf>
    <xf numFmtId="1" fontId="32" fillId="46" borderId="108" xfId="0" applyNumberFormat="1" applyFont="1" applyFill="1" applyBorder="1" applyAlignment="1">
      <alignment horizontal="center" vertical="center"/>
    </xf>
    <xf numFmtId="0" fontId="33" fillId="42" borderId="99" xfId="0" applyFont="1" applyFill="1" applyBorder="1"/>
    <xf numFmtId="0" fontId="28" fillId="43" borderId="113" xfId="0" applyFont="1" applyFill="1" applyBorder="1" applyAlignment="1">
      <alignment horizontal="center" vertical="center" wrapText="1"/>
    </xf>
    <xf numFmtId="0" fontId="33" fillId="16" borderId="57" xfId="0" applyFont="1" applyFill="1" applyBorder="1" applyAlignment="1">
      <alignment vertical="center"/>
    </xf>
    <xf numFmtId="166" fontId="33" fillId="0" borderId="58" xfId="65" applyFont="1" applyFill="1" applyBorder="1" applyAlignment="1" applyProtection="1"/>
    <xf numFmtId="0" fontId="28" fillId="43" borderId="114" xfId="0" applyFont="1" applyFill="1" applyBorder="1" applyAlignment="1">
      <alignment horizontal="center" vertical="center"/>
    </xf>
    <xf numFmtId="0" fontId="28" fillId="43" borderId="115" xfId="0" applyFont="1" applyFill="1" applyBorder="1" applyAlignment="1">
      <alignment horizontal="center" vertical="center" wrapText="1"/>
    </xf>
    <xf numFmtId="0" fontId="32" fillId="16" borderId="116" xfId="0" applyFont="1" applyFill="1" applyBorder="1" applyAlignment="1">
      <alignment vertical="center"/>
    </xf>
    <xf numFmtId="0" fontId="32" fillId="16" borderId="117" xfId="0" applyFont="1" applyFill="1" applyBorder="1"/>
    <xf numFmtId="0" fontId="32" fillId="16" borderId="118" xfId="0" applyFont="1" applyFill="1" applyBorder="1"/>
    <xf numFmtId="0" fontId="33" fillId="43" borderId="119" xfId="0" applyFont="1" applyFill="1" applyBorder="1"/>
    <xf numFmtId="2" fontId="32" fillId="0" borderId="122" xfId="0" applyNumberFormat="1" applyFont="1" applyBorder="1"/>
    <xf numFmtId="0" fontId="33" fillId="0" borderId="100" xfId="0" applyNumberFormat="1" applyFont="1" applyBorder="1"/>
    <xf numFmtId="166" fontId="33" fillId="0" borderId="100" xfId="0" applyNumberFormat="1" applyFont="1" applyBorder="1"/>
    <xf numFmtId="0" fontId="32" fillId="0" borderId="122" xfId="0" applyFont="1" applyBorder="1"/>
    <xf numFmtId="0" fontId="33" fillId="0" borderId="99" xfId="0" applyFont="1" applyBorder="1"/>
    <xf numFmtId="0" fontId="32" fillId="16" borderId="126" xfId="0" applyFont="1" applyFill="1" applyBorder="1" applyAlignment="1">
      <alignment vertical="center"/>
    </xf>
    <xf numFmtId="0" fontId="32" fillId="16" borderId="127" xfId="0" applyFont="1" applyFill="1" applyBorder="1"/>
    <xf numFmtId="0" fontId="32" fillId="16" borderId="128" xfId="0" applyFont="1" applyFill="1" applyBorder="1"/>
    <xf numFmtId="175" fontId="33" fillId="0" borderId="129" xfId="0" applyNumberFormat="1" applyFont="1" applyBorder="1" applyAlignment="1">
      <alignment horizontal="center"/>
    </xf>
    <xf numFmtId="0" fontId="33" fillId="0" borderId="129" xfId="0" applyFont="1" applyBorder="1"/>
    <xf numFmtId="176" fontId="33" fillId="0" borderId="129" xfId="0" applyNumberFormat="1" applyFont="1" applyBorder="1"/>
    <xf numFmtId="166" fontId="33" fillId="0" borderId="129" xfId="0" applyNumberFormat="1" applyFont="1" applyBorder="1"/>
    <xf numFmtId="4" fontId="33" fillId="0" borderId="130" xfId="0" applyNumberFormat="1" applyFont="1" applyBorder="1"/>
    <xf numFmtId="0" fontId="33" fillId="43" borderId="119" xfId="0" applyFont="1" applyFill="1" applyBorder="1" applyAlignment="1">
      <alignment vertical="center"/>
    </xf>
    <xf numFmtId="0" fontId="33" fillId="43" borderId="120" xfId="0" applyFont="1" applyFill="1" applyBorder="1"/>
    <xf numFmtId="0" fontId="32" fillId="43" borderId="121" xfId="0" applyFont="1" applyFill="1" applyBorder="1" applyAlignment="1">
      <alignment horizontal="right" vertical="center"/>
    </xf>
    <xf numFmtId="4" fontId="32" fillId="0" borderId="131" xfId="0" applyNumberFormat="1" applyFont="1" applyBorder="1"/>
    <xf numFmtId="0" fontId="33" fillId="0" borderId="99" xfId="0" applyFont="1" applyFill="1" applyBorder="1"/>
    <xf numFmtId="174" fontId="32" fillId="0" borderId="100" xfId="0" applyNumberFormat="1" applyFont="1" applyFill="1" applyBorder="1"/>
    <xf numFmtId="0" fontId="34" fillId="42" borderId="99" xfId="0" applyFont="1" applyFill="1" applyBorder="1" applyAlignment="1" applyProtection="1">
      <alignment horizontal="left"/>
    </xf>
    <xf numFmtId="174" fontId="32" fillId="0" borderId="101" xfId="0" applyNumberFormat="1" applyFont="1" applyFill="1" applyBorder="1"/>
    <xf numFmtId="166" fontId="33" fillId="0" borderId="104" xfId="65" applyFont="1" applyFill="1" applyBorder="1" applyAlignment="1" applyProtection="1"/>
    <xf numFmtId="0" fontId="33" fillId="42" borderId="104" xfId="0" applyFont="1" applyFill="1" applyBorder="1"/>
    <xf numFmtId="0" fontId="35" fillId="40" borderId="60" xfId="47" applyFont="1" applyFill="1" applyBorder="1" applyAlignment="1">
      <alignment horizontal="center" vertical="center" wrapText="1"/>
    </xf>
    <xf numFmtId="0" fontId="35" fillId="40" borderId="42" xfId="47" applyFont="1" applyFill="1" applyBorder="1" applyAlignment="1">
      <alignment horizontal="center" vertical="center" wrapText="1"/>
    </xf>
    <xf numFmtId="0" fontId="29" fillId="0" borderId="132" xfId="0" applyFont="1" applyFill="1" applyBorder="1"/>
    <xf numFmtId="0" fontId="29" fillId="0" borderId="39" xfId="0" applyFont="1" applyFill="1" applyBorder="1"/>
    <xf numFmtId="0" fontId="29" fillId="0" borderId="83" xfId="0" applyFont="1" applyFill="1" applyBorder="1" applyAlignment="1">
      <alignment horizontal="center" vertical="center"/>
    </xf>
    <xf numFmtId="0" fontId="35" fillId="40" borderId="157" xfId="47" applyFont="1" applyFill="1" applyBorder="1" applyAlignment="1">
      <alignment horizontal="center" vertical="center" wrapText="1"/>
    </xf>
    <xf numFmtId="0" fontId="29" fillId="0" borderId="162" xfId="0" applyFont="1" applyFill="1" applyBorder="1" applyAlignment="1">
      <alignment horizontal="center" vertical="center"/>
    </xf>
    <xf numFmtId="0" fontId="29" fillId="0" borderId="132" xfId="0" applyFont="1" applyFill="1" applyBorder="1" applyAlignment="1">
      <alignment vertical="center" wrapText="1"/>
    </xf>
    <xf numFmtId="0" fontId="29" fillId="0" borderId="39" xfId="47" applyFont="1" applyFill="1" applyBorder="1" applyAlignment="1">
      <alignment vertical="center"/>
    </xf>
    <xf numFmtId="0" fontId="29" fillId="0" borderId="159" xfId="55" applyFont="1" applyFill="1" applyBorder="1" applyAlignment="1">
      <alignment vertical="center"/>
    </xf>
    <xf numFmtId="165" fontId="29" fillId="24" borderId="161" xfId="48" applyFont="1" applyFill="1" applyBorder="1" applyAlignment="1">
      <alignment horizontal="center" vertical="center"/>
    </xf>
    <xf numFmtId="0" fontId="29" fillId="0" borderId="132" xfId="0" applyFont="1" applyFill="1" applyBorder="1" applyAlignment="1">
      <alignment wrapText="1"/>
    </xf>
    <xf numFmtId="44" fontId="29" fillId="0" borderId="135" xfId="50" applyNumberFormat="1" applyFont="1" applyBorder="1" applyAlignment="1">
      <alignment horizontal="center" vertical="center"/>
    </xf>
    <xf numFmtId="0" fontId="29" fillId="0" borderId="159" xfId="50" applyNumberFormat="1" applyFont="1" applyBorder="1" applyAlignment="1">
      <alignment horizontal="center" vertical="center"/>
    </xf>
    <xf numFmtId="44" fontId="29" fillId="0" borderId="170" xfId="50" applyNumberFormat="1" applyFont="1" applyBorder="1" applyAlignment="1">
      <alignment horizontal="center" vertical="center"/>
    </xf>
    <xf numFmtId="0" fontId="29" fillId="0" borderId="134" xfId="50" applyNumberFormat="1" applyFont="1" applyFill="1" applyBorder="1" applyAlignment="1">
      <alignment horizontal="center" vertical="center"/>
    </xf>
    <xf numFmtId="166" fontId="29" fillId="0" borderId="170" xfId="50" applyFont="1" applyBorder="1" applyAlignment="1">
      <alignment horizontal="center" vertical="center"/>
    </xf>
    <xf numFmtId="44" fontId="29" fillId="0" borderId="87" xfId="50" applyNumberFormat="1" applyFont="1" applyBorder="1" applyAlignment="1">
      <alignment horizontal="center" vertical="center"/>
    </xf>
    <xf numFmtId="0" fontId="29" fillId="0" borderId="39" xfId="50" applyNumberFormat="1" applyFont="1" applyBorder="1" applyAlignment="1">
      <alignment horizontal="center" vertical="center"/>
    </xf>
    <xf numFmtId="44" fontId="29" fillId="0" borderId="89" xfId="50" applyNumberFormat="1" applyFont="1" applyBorder="1" applyAlignment="1">
      <alignment horizontal="center" vertical="center"/>
    </xf>
    <xf numFmtId="166" fontId="29" fillId="0" borderId="89" xfId="50" applyFont="1" applyBorder="1" applyAlignment="1">
      <alignment horizontal="center" vertical="center"/>
    </xf>
    <xf numFmtId="0" fontId="29" fillId="0" borderId="149" xfId="50" applyNumberFormat="1" applyFont="1" applyFill="1" applyBorder="1" applyAlignment="1">
      <alignment horizontal="center" vertical="center"/>
    </xf>
    <xf numFmtId="165" fontId="29" fillId="24" borderId="150" xfId="48" applyFont="1" applyFill="1" applyBorder="1" applyAlignment="1">
      <alignment horizontal="center" vertical="center"/>
    </xf>
    <xf numFmtId="165" fontId="29" fillId="24" borderId="146" xfId="48" applyFont="1" applyFill="1" applyBorder="1" applyAlignment="1">
      <alignment horizontal="center" vertical="center"/>
    </xf>
    <xf numFmtId="165" fontId="29" fillId="24" borderId="89" xfId="48" applyFont="1" applyFill="1" applyBorder="1" applyAlignment="1">
      <alignment horizontal="center" vertical="center"/>
    </xf>
    <xf numFmtId="0" fontId="29" fillId="0" borderId="98" xfId="0" applyFont="1" applyFill="1" applyBorder="1"/>
    <xf numFmtId="0" fontId="29" fillId="0" borderId="172" xfId="0" applyFont="1" applyFill="1" applyBorder="1" applyAlignment="1">
      <alignment horizontal="center" vertical="center"/>
    </xf>
    <xf numFmtId="0" fontId="28" fillId="25" borderId="155" xfId="47" applyFont="1" applyFill="1" applyBorder="1" applyAlignment="1">
      <alignment vertical="center"/>
    </xf>
    <xf numFmtId="0" fontId="28" fillId="25" borderId="155" xfId="47" applyFont="1" applyFill="1" applyBorder="1" applyAlignment="1">
      <alignment horizontal="center" vertical="center"/>
    </xf>
    <xf numFmtId="0" fontId="29" fillId="0" borderId="153" xfId="0" applyFont="1" applyFill="1" applyBorder="1"/>
    <xf numFmtId="0" fontId="29" fillId="0" borderId="166" xfId="0" applyFont="1" applyFill="1" applyBorder="1" applyAlignment="1">
      <alignment horizontal="center" vertical="center"/>
    </xf>
    <xf numFmtId="0" fontId="29" fillId="0" borderId="165" xfId="50" applyNumberFormat="1" applyFont="1" applyBorder="1" applyAlignment="1">
      <alignment horizontal="center" vertical="center"/>
    </xf>
    <xf numFmtId="44" fontId="29" fillId="0" borderId="171" xfId="50" applyNumberFormat="1" applyFont="1" applyBorder="1" applyAlignment="1">
      <alignment horizontal="center" vertical="center"/>
    </xf>
    <xf numFmtId="166" fontId="29" fillId="0" borderId="171" xfId="50" applyFont="1" applyBorder="1" applyAlignment="1">
      <alignment horizontal="center" vertical="center"/>
    </xf>
    <xf numFmtId="0" fontId="29" fillId="0" borderId="151" xfId="50" applyNumberFormat="1" applyFont="1" applyFill="1" applyBorder="1" applyAlignment="1">
      <alignment horizontal="center" vertical="center"/>
    </xf>
    <xf numFmtId="165" fontId="29" fillId="24" borderId="167" xfId="48" applyFont="1" applyFill="1" applyBorder="1" applyAlignment="1">
      <alignment horizontal="center" vertical="center"/>
    </xf>
    <xf numFmtId="44" fontId="28" fillId="25" borderId="173" xfId="47" applyNumberFormat="1" applyFont="1" applyFill="1" applyBorder="1" applyAlignment="1">
      <alignment vertical="center"/>
    </xf>
    <xf numFmtId="44" fontId="28" fillId="25" borderId="173" xfId="48" applyNumberFormat="1" applyFont="1" applyFill="1" applyBorder="1" applyAlignment="1">
      <alignment horizontal="center" vertical="center"/>
    </xf>
    <xf numFmtId="167" fontId="29" fillId="24" borderId="161" xfId="46" applyFont="1" applyFill="1" applyBorder="1" applyAlignment="1">
      <alignment horizontal="center" vertical="center"/>
    </xf>
    <xf numFmtId="0" fontId="28" fillId="25" borderId="153" xfId="47"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134" xfId="46" applyNumberFormat="1" applyFont="1" applyFill="1" applyBorder="1" applyAlignment="1">
      <alignment horizontal="center" vertical="center"/>
    </xf>
    <xf numFmtId="0" fontId="28" fillId="25" borderId="133" xfId="33" applyFont="1" applyFill="1" applyBorder="1" applyAlignment="1">
      <alignment vertical="center"/>
    </xf>
    <xf numFmtId="0" fontId="29" fillId="0" borderId="172" xfId="46" applyNumberFormat="1" applyFont="1" applyFill="1" applyBorder="1" applyAlignment="1">
      <alignment horizontal="center" vertical="center"/>
    </xf>
    <xf numFmtId="0" fontId="29" fillId="0" borderId="166" xfId="46" applyNumberFormat="1" applyFont="1" applyFill="1" applyBorder="1" applyAlignment="1">
      <alignment horizontal="center" vertical="center"/>
    </xf>
    <xf numFmtId="0" fontId="29" fillId="0" borderId="61" xfId="46" applyNumberFormat="1" applyFont="1" applyFill="1" applyBorder="1" applyAlignment="1">
      <alignment horizontal="center" vertical="center"/>
    </xf>
    <xf numFmtId="44" fontId="29" fillId="24" borderId="87" xfId="46" applyNumberFormat="1" applyFont="1" applyFill="1" applyBorder="1" applyAlignment="1">
      <alignment vertical="center"/>
    </xf>
    <xf numFmtId="44" fontId="29" fillId="24" borderId="135" xfId="46" applyNumberFormat="1" applyFont="1" applyFill="1" applyBorder="1" applyAlignment="1">
      <alignment vertical="center"/>
    </xf>
    <xf numFmtId="44" fontId="29" fillId="24" borderId="89" xfId="46" applyNumberFormat="1" applyFont="1" applyFill="1" applyBorder="1" applyAlignment="1">
      <alignment vertical="center"/>
    </xf>
    <xf numFmtId="44" fontId="29" fillId="24" borderId="170" xfId="46" applyNumberFormat="1" applyFont="1" applyFill="1" applyBorder="1" applyAlignment="1">
      <alignment vertical="center"/>
    </xf>
    <xf numFmtId="44" fontId="28" fillId="25" borderId="60" xfId="47" applyNumberFormat="1" applyFont="1" applyFill="1" applyBorder="1" applyAlignment="1">
      <alignment horizontal="center" vertical="center"/>
    </xf>
    <xf numFmtId="0" fontId="29" fillId="24" borderId="39" xfId="46" applyNumberFormat="1" applyFont="1" applyFill="1" applyBorder="1" applyAlignment="1">
      <alignment horizontal="center" vertical="center"/>
    </xf>
    <xf numFmtId="0" fontId="29" fillId="24" borderId="159" xfId="46" applyNumberFormat="1" applyFont="1" applyFill="1" applyBorder="1" applyAlignment="1">
      <alignment horizontal="center" vertical="center"/>
    </xf>
    <xf numFmtId="167" fontId="28" fillId="25" borderId="64" xfId="46" applyFont="1" applyFill="1" applyBorder="1" applyAlignment="1">
      <alignment horizontal="center" vertical="center"/>
    </xf>
    <xf numFmtId="0" fontId="35" fillId="40" borderId="98"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1" xfId="47" applyFont="1" applyFill="1" applyBorder="1" applyAlignment="1">
      <alignment horizontal="center" vertical="center" wrapText="1"/>
    </xf>
    <xf numFmtId="0" fontId="35" fillId="40" borderId="39" xfId="47" applyFont="1" applyFill="1" applyBorder="1" applyAlignment="1">
      <alignment horizontal="center" vertical="center" wrapText="1"/>
    </xf>
    <xf numFmtId="167" fontId="29" fillId="0" borderId="166" xfId="46" applyFont="1" applyFill="1" applyBorder="1" applyAlignment="1">
      <alignment horizontal="center" vertical="center"/>
    </xf>
    <xf numFmtId="9" fontId="29" fillId="24" borderId="135" xfId="46" applyNumberFormat="1" applyFont="1" applyFill="1" applyBorder="1" applyAlignment="1">
      <alignment horizontal="center" vertical="center"/>
    </xf>
    <xf numFmtId="0" fontId="28" fillId="25" borderId="67" xfId="47" applyFont="1" applyFill="1" applyBorder="1" applyAlignment="1">
      <alignment vertical="center"/>
    </xf>
    <xf numFmtId="0" fontId="29" fillId="0" borderId="96" xfId="50" applyNumberFormat="1" applyFont="1" applyFill="1" applyBorder="1" applyAlignment="1">
      <alignment horizontal="center" vertical="center"/>
    </xf>
    <xf numFmtId="44" fontId="28" fillId="25" borderId="90" xfId="47" applyNumberFormat="1" applyFont="1" applyFill="1" applyBorder="1" applyAlignment="1">
      <alignment vertical="center"/>
    </xf>
    <xf numFmtId="44" fontId="28" fillId="25" borderId="60" xfId="47" applyNumberFormat="1" applyFont="1" applyFill="1" applyBorder="1" applyAlignment="1">
      <alignment vertical="center"/>
    </xf>
    <xf numFmtId="44" fontId="28" fillId="25" borderId="60" xfId="48" applyNumberFormat="1" applyFont="1" applyFill="1" applyBorder="1" applyAlignment="1">
      <alignment horizontal="center" vertical="center"/>
    </xf>
    <xf numFmtId="0" fontId="29" fillId="0" borderId="165" xfId="47" applyFont="1" applyFill="1" applyBorder="1" applyAlignment="1">
      <alignment vertical="center"/>
    </xf>
    <xf numFmtId="0" fontId="29" fillId="0" borderId="0" xfId="49" applyFont="1" applyBorder="1" applyAlignment="1" applyProtection="1">
      <alignment vertical="center"/>
    </xf>
    <xf numFmtId="1" fontId="32" fillId="46" borderId="167" xfId="0" applyNumberFormat="1" applyFont="1" applyFill="1" applyBorder="1" applyAlignment="1">
      <alignment horizontal="center" vertical="center"/>
    </xf>
    <xf numFmtId="0" fontId="28" fillId="0" borderId="147" xfId="49" applyFont="1" applyBorder="1" applyAlignment="1" applyProtection="1">
      <alignment horizontal="center" vertical="center"/>
    </xf>
    <xf numFmtId="0" fontId="28" fillId="31" borderId="159"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166" fontId="28" fillId="31" borderId="161" xfId="50" applyFont="1" applyFill="1" applyBorder="1" applyAlignment="1" applyProtection="1">
      <alignment horizontal="center" vertical="center"/>
    </xf>
    <xf numFmtId="0" fontId="29" fillId="0" borderId="99" xfId="0" applyFont="1" applyBorder="1" applyAlignment="1">
      <alignment horizontal="center"/>
    </xf>
    <xf numFmtId="0" fontId="29" fillId="0" borderId="172" xfId="0" applyFont="1" applyBorder="1" applyAlignment="1" applyProtection="1">
      <alignment horizontal="center" vertical="center"/>
    </xf>
    <xf numFmtId="166" fontId="29" fillId="0" borderId="154" xfId="50" applyFont="1" applyBorder="1" applyAlignment="1" applyProtection="1">
      <alignment vertical="center"/>
    </xf>
    <xf numFmtId="166" fontId="29" fillId="0" borderId="0" xfId="49" applyNumberFormat="1" applyFont="1" applyAlignment="1" applyProtection="1">
      <alignment vertical="center"/>
    </xf>
    <xf numFmtId="10" fontId="29" fillId="0" borderId="172" xfId="0" applyNumberFormat="1" applyFont="1" applyBorder="1" applyAlignment="1" applyProtection="1">
      <alignment horizontal="center" vertical="center"/>
    </xf>
    <xf numFmtId="166" fontId="28" fillId="32" borderId="161" xfId="50" applyFont="1" applyFill="1" applyBorder="1" applyAlignment="1" applyProtection="1">
      <alignment vertical="center"/>
    </xf>
    <xf numFmtId="10" fontId="29" fillId="0" borderId="172" xfId="51" applyNumberFormat="1" applyFont="1" applyBorder="1" applyAlignment="1" applyProtection="1">
      <alignment horizontal="center" vertical="center"/>
    </xf>
    <xf numFmtId="10" fontId="29" fillId="0" borderId="83" xfId="51" applyNumberFormat="1" applyFont="1" applyBorder="1" applyAlignment="1" applyProtection="1">
      <alignment horizontal="center" vertical="center"/>
    </xf>
    <xf numFmtId="170" fontId="29" fillId="0" borderId="89" xfId="50" applyNumberFormat="1" applyFont="1" applyBorder="1" applyAlignment="1" applyProtection="1">
      <alignment vertical="center"/>
    </xf>
    <xf numFmtId="0" fontId="29" fillId="0" borderId="99" xfId="0" applyFont="1" applyBorder="1"/>
    <xf numFmtId="10" fontId="28" fillId="0" borderId="133" xfId="51" applyNumberFormat="1" applyFont="1" applyBorder="1" applyAlignment="1" applyProtection="1">
      <alignment horizontal="center" vertical="center"/>
    </xf>
    <xf numFmtId="0" fontId="29" fillId="0" borderId="159" xfId="0" applyFont="1" applyBorder="1" applyAlignment="1" applyProtection="1">
      <alignment horizontal="center" vertical="center"/>
    </xf>
    <xf numFmtId="0" fontId="29" fillId="0" borderId="135" xfId="0" applyFont="1" applyBorder="1" applyAlignment="1" applyProtection="1">
      <alignment vertical="center"/>
    </xf>
    <xf numFmtId="0" fontId="29" fillId="0" borderId="133" xfId="0" applyFont="1" applyBorder="1" applyAlignment="1" applyProtection="1">
      <alignment vertical="center"/>
    </xf>
    <xf numFmtId="10" fontId="29" fillId="0" borderId="162" xfId="51" applyNumberFormat="1" applyFont="1" applyBorder="1" applyAlignment="1" applyProtection="1">
      <alignment horizontal="center" vertical="center"/>
    </xf>
    <xf numFmtId="170" fontId="29" fillId="0" borderId="170" xfId="50" applyNumberFormat="1" applyFont="1" applyBorder="1" applyAlignment="1" applyProtection="1">
      <alignment vertical="center"/>
    </xf>
    <xf numFmtId="10" fontId="28" fillId="32" borderId="135" xfId="0" applyNumberFormat="1" applyFont="1" applyFill="1" applyBorder="1" applyAlignment="1" applyProtection="1">
      <alignment horizontal="center" vertical="center"/>
    </xf>
    <xf numFmtId="170" fontId="28" fillId="32" borderId="161" xfId="0" applyNumberFormat="1" applyFont="1" applyFill="1" applyBorder="1" applyAlignment="1" applyProtection="1">
      <alignment horizontal="right" vertical="center"/>
    </xf>
    <xf numFmtId="0" fontId="29" fillId="0" borderId="165" xfId="0" applyFont="1" applyBorder="1" applyAlignment="1">
      <alignment horizontal="center"/>
    </xf>
    <xf numFmtId="10" fontId="29" fillId="0" borderId="166" xfId="51" applyNumberFormat="1" applyFont="1" applyBorder="1" applyAlignment="1" applyProtection="1">
      <alignment horizontal="center" vertical="center"/>
    </xf>
    <xf numFmtId="170" fontId="29" fillId="0" borderId="171" xfId="50" applyNumberFormat="1" applyFont="1" applyBorder="1" applyAlignment="1" applyProtection="1">
      <alignment vertical="center"/>
    </xf>
    <xf numFmtId="0" fontId="29" fillId="0" borderId="153" xfId="49" applyFont="1" applyBorder="1" applyAlignment="1">
      <alignment horizontal="center"/>
    </xf>
    <xf numFmtId="0" fontId="29" fillId="0" borderId="166" xfId="49" applyNumberFormat="1" applyFont="1" applyBorder="1" applyAlignment="1" applyProtection="1">
      <alignment horizontal="center" vertical="center"/>
    </xf>
    <xf numFmtId="166" fontId="29" fillId="0" borderId="167" xfId="50" applyFont="1" applyBorder="1" applyAlignment="1" applyProtection="1">
      <alignment vertical="center"/>
    </xf>
    <xf numFmtId="0" fontId="29" fillId="0" borderId="99" xfId="49" applyFont="1" applyBorder="1" applyAlignment="1">
      <alignment horizontal="center"/>
    </xf>
    <xf numFmtId="44" fontId="29" fillId="0" borderId="11" xfId="49" applyNumberFormat="1" applyFont="1" applyBorder="1" applyAlignment="1" applyProtection="1">
      <alignment horizontal="center" vertical="center"/>
    </xf>
    <xf numFmtId="0" fontId="29" fillId="0" borderId="172" xfId="49" applyNumberFormat="1" applyFont="1" applyBorder="1" applyAlignment="1" applyProtection="1">
      <alignment horizontal="center" vertical="center"/>
    </xf>
    <xf numFmtId="44" fontId="29" fillId="0" borderId="149" xfId="0" applyNumberFormat="1" applyFont="1" applyBorder="1" applyAlignment="1" applyProtection="1">
      <alignment horizontal="center" vertical="center"/>
    </xf>
    <xf numFmtId="0" fontId="28" fillId="33" borderId="153" xfId="49" applyFont="1" applyFill="1" applyBorder="1" applyAlignment="1" applyProtection="1">
      <alignment horizontal="center" vertical="center"/>
    </xf>
    <xf numFmtId="10" fontId="28" fillId="33" borderId="151" xfId="49" applyNumberFormat="1" applyFont="1" applyFill="1" applyBorder="1" applyAlignment="1" applyProtection="1">
      <alignment horizontal="center" vertical="center"/>
    </xf>
    <xf numFmtId="170" fontId="28" fillId="33" borderId="167" xfId="49" applyNumberFormat="1" applyFont="1" applyFill="1" applyBorder="1" applyAlignment="1" applyProtection="1">
      <alignment horizontal="right" vertical="center"/>
    </xf>
    <xf numFmtId="0" fontId="28" fillId="33" borderId="99" xfId="49" applyFont="1" applyFill="1" applyBorder="1" applyAlignment="1" applyProtection="1">
      <alignment horizontal="center" vertical="center"/>
    </xf>
    <xf numFmtId="170" fontId="28" fillId="33" borderId="154" xfId="49" applyNumberFormat="1" applyFont="1" applyFill="1" applyBorder="1" applyAlignment="1" applyProtection="1">
      <alignment horizontal="right" vertical="center"/>
    </xf>
    <xf numFmtId="0" fontId="28" fillId="31" borderId="152" xfId="49" applyFont="1" applyFill="1" applyBorder="1" applyAlignment="1" applyProtection="1">
      <alignment horizontal="left" vertical="center"/>
    </xf>
    <xf numFmtId="0" fontId="28" fillId="31" borderId="171" xfId="49" applyFont="1" applyFill="1" applyBorder="1" applyAlignment="1" applyProtection="1">
      <alignment horizontal="left" vertical="center"/>
    </xf>
    <xf numFmtId="0" fontId="29" fillId="0" borderId="165" xfId="49" applyFont="1" applyBorder="1" applyAlignment="1">
      <alignment horizontal="center"/>
    </xf>
    <xf numFmtId="170" fontId="29" fillId="0" borderId="167" xfId="50" applyNumberFormat="1" applyFont="1" applyBorder="1" applyAlignment="1" applyProtection="1">
      <alignment vertical="center"/>
    </xf>
    <xf numFmtId="0" fontId="29" fillId="0" borderId="98" xfId="49" applyFont="1" applyBorder="1" applyAlignment="1">
      <alignment horizontal="center"/>
    </xf>
    <xf numFmtId="170" fontId="29" fillId="0" borderId="154" xfId="50" applyNumberFormat="1" applyFont="1" applyBorder="1" applyAlignment="1" applyProtection="1">
      <alignment vertical="center"/>
    </xf>
    <xf numFmtId="170" fontId="29" fillId="0" borderId="150" xfId="50" applyNumberFormat="1" applyFont="1" applyBorder="1" applyAlignment="1" applyProtection="1">
      <alignment vertical="center"/>
    </xf>
    <xf numFmtId="170" fontId="28" fillId="32" borderId="150" xfId="49" applyNumberFormat="1" applyFont="1" applyFill="1" applyBorder="1" applyAlignment="1" applyProtection="1">
      <alignment horizontal="right" vertical="center"/>
    </xf>
    <xf numFmtId="10" fontId="29" fillId="0" borderId="172" xfId="35" applyNumberFormat="1" applyFont="1" applyFill="1" applyBorder="1" applyAlignment="1" applyProtection="1">
      <alignment horizontal="center" vertical="center"/>
    </xf>
    <xf numFmtId="10" fontId="28" fillId="32" borderId="135" xfId="49" applyNumberFormat="1" applyFont="1" applyFill="1" applyBorder="1" applyAlignment="1" applyProtection="1">
      <alignment horizontal="center" vertical="center"/>
    </xf>
    <xf numFmtId="170" fontId="28" fillId="32" borderId="161" xfId="49" applyNumberFormat="1" applyFont="1" applyFill="1" applyBorder="1" applyAlignment="1" applyProtection="1">
      <alignment horizontal="right" vertical="center"/>
    </xf>
    <xf numFmtId="10" fontId="29" fillId="0" borderId="0" xfId="49" applyNumberFormat="1" applyFont="1"/>
    <xf numFmtId="1" fontId="29" fillId="0" borderId="151" xfId="49" applyNumberFormat="1" applyFont="1" applyBorder="1" applyAlignment="1" applyProtection="1">
      <alignment horizontal="center" vertical="center"/>
    </xf>
    <xf numFmtId="10" fontId="29" fillId="0" borderId="172" xfId="35" applyNumberFormat="1" applyFont="1" applyBorder="1" applyAlignment="1" applyProtection="1">
      <alignment horizontal="center" vertical="center"/>
    </xf>
    <xf numFmtId="10" fontId="28" fillId="0" borderId="83" xfId="35" applyNumberFormat="1" applyFont="1" applyBorder="1" applyAlignment="1" applyProtection="1">
      <alignment horizontal="center" vertical="center"/>
    </xf>
    <xf numFmtId="170" fontId="28" fillId="0" borderId="150" xfId="50" applyNumberFormat="1" applyFont="1" applyBorder="1" applyAlignment="1" applyProtection="1">
      <alignment vertical="center"/>
    </xf>
    <xf numFmtId="10" fontId="28" fillId="32" borderId="87" xfId="49" applyNumberFormat="1" applyFont="1" applyFill="1" applyBorder="1" applyAlignment="1" applyProtection="1">
      <alignment horizontal="center" vertical="center"/>
    </xf>
    <xf numFmtId="0" fontId="29" fillId="25" borderId="153" xfId="49" applyFont="1" applyFill="1" applyBorder="1"/>
    <xf numFmtId="0" fontId="28" fillId="32" borderId="152" xfId="49" applyFont="1" applyFill="1" applyBorder="1" applyAlignment="1" applyProtection="1">
      <alignment vertical="center"/>
    </xf>
    <xf numFmtId="0" fontId="28" fillId="32" borderId="151" xfId="49" applyFont="1" applyFill="1" applyBorder="1" applyAlignment="1" applyProtection="1">
      <alignment vertical="center"/>
    </xf>
    <xf numFmtId="166" fontId="28" fillId="32" borderId="167" xfId="31" applyNumberFormat="1" applyFont="1" applyFill="1" applyBorder="1" applyAlignment="1" applyProtection="1">
      <alignment vertical="center"/>
    </xf>
    <xf numFmtId="0" fontId="29" fillId="25" borderId="99" xfId="49" applyFont="1" applyFill="1" applyBorder="1"/>
    <xf numFmtId="8" fontId="28" fillId="32" borderId="154" xfId="31" applyNumberFormat="1" applyFont="1" applyFill="1" applyBorder="1" applyAlignment="1" applyProtection="1">
      <alignment vertical="center"/>
    </xf>
    <xf numFmtId="0" fontId="29" fillId="0" borderId="99" xfId="49" applyFont="1" applyFill="1" applyBorder="1"/>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4" xfId="31" applyNumberFormat="1" applyFont="1" applyFill="1" applyBorder="1" applyAlignment="1" applyProtection="1">
      <alignment horizontal="center" vertical="center"/>
    </xf>
    <xf numFmtId="0" fontId="28" fillId="36" borderId="99" xfId="49" applyFont="1" applyFill="1" applyBorder="1" applyAlignment="1" applyProtection="1">
      <alignment vertical="center"/>
    </xf>
    <xf numFmtId="8" fontId="28" fillId="37" borderId="154" xfId="31" applyNumberFormat="1" applyFont="1" applyFill="1" applyBorder="1" applyAlignment="1" applyProtection="1">
      <alignment vertical="center"/>
    </xf>
    <xf numFmtId="0" fontId="28" fillId="36" borderId="69" xfId="49" applyFont="1" applyFill="1" applyBorder="1" applyAlignment="1" applyProtection="1">
      <alignment vertical="center"/>
    </xf>
    <xf numFmtId="3" fontId="28" fillId="36" borderId="177" xfId="35" applyNumberFormat="1" applyFont="1" applyFill="1" applyBorder="1" applyAlignment="1" applyProtection="1">
      <alignment vertical="center"/>
    </xf>
    <xf numFmtId="8" fontId="28" fillId="36" borderId="178" xfId="31" applyNumberFormat="1" applyFont="1" applyFill="1" applyBorder="1" applyAlignment="1" applyProtection="1">
      <alignment vertical="center"/>
    </xf>
    <xf numFmtId="0" fontId="28" fillId="47" borderId="103" xfId="0" applyFont="1" applyFill="1" applyBorder="1" applyAlignment="1">
      <alignment vertical="center"/>
    </xf>
    <xf numFmtId="43" fontId="33" fillId="42" borderId="179"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3" xfId="35" applyNumberFormat="1" applyFont="1" applyFill="1" applyBorder="1" applyAlignment="1" applyProtection="1">
      <alignment horizontal="center" vertical="center"/>
    </xf>
    <xf numFmtId="10" fontId="29" fillId="0" borderId="105" xfId="51" applyNumberFormat="1" applyFont="1" applyBorder="1" applyAlignment="1" applyProtection="1">
      <alignment horizontal="center" vertical="center"/>
    </xf>
    <xf numFmtId="44" fontId="29" fillId="0" borderId="151" xfId="49" applyNumberFormat="1" applyFont="1" applyFill="1" applyBorder="1" applyAlignment="1" applyProtection="1">
      <alignment horizontal="center" vertical="center"/>
    </xf>
    <xf numFmtId="166" fontId="33" fillId="16" borderId="57"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0" fontId="28" fillId="31" borderId="16" xfId="49" applyFont="1" applyFill="1" applyBorder="1" applyAlignment="1" applyProtection="1">
      <alignment horizontal="center" vertical="center"/>
    </xf>
    <xf numFmtId="0" fontId="29" fillId="0" borderId="0" xfId="49" applyFont="1" applyBorder="1" applyAlignment="1" applyProtection="1">
      <alignment vertical="center"/>
    </xf>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33" fillId="42" borderId="175" xfId="0" applyFont="1" applyFill="1" applyBorder="1" applyProtection="1"/>
    <xf numFmtId="0" fontId="33" fillId="42" borderId="175"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8" fillId="31" borderId="162"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32" fillId="16" borderId="32" xfId="0" applyFont="1" applyFill="1" applyBorder="1"/>
    <xf numFmtId="0" fontId="33" fillId="16" borderId="183" xfId="0" applyFont="1" applyFill="1" applyBorder="1" applyAlignment="1">
      <alignment vertical="center"/>
    </xf>
    <xf numFmtId="0" fontId="33" fillId="43" borderId="67" xfId="0" applyFont="1" applyFill="1" applyBorder="1"/>
    <xf numFmtId="2" fontId="32" fillId="0" borderId="184" xfId="0" applyNumberFormat="1" applyFont="1" applyBorder="1"/>
    <xf numFmtId="2" fontId="33" fillId="0" borderId="185" xfId="0" applyNumberFormat="1" applyFont="1" applyBorder="1"/>
    <xf numFmtId="166" fontId="33" fillId="0" borderId="186" xfId="0" applyNumberFormat="1" applyFont="1" applyBorder="1"/>
    <xf numFmtId="3" fontId="33" fillId="42" borderId="33" xfId="0" applyNumberFormat="1" applyFont="1" applyFill="1" applyBorder="1"/>
    <xf numFmtId="3" fontId="33" fillId="42" borderId="100" xfId="0" applyNumberFormat="1" applyFont="1" applyFill="1" applyBorder="1"/>
    <xf numFmtId="0" fontId="33" fillId="16" borderId="57" xfId="0" applyFont="1" applyFill="1" applyBorder="1" applyAlignment="1">
      <alignment horizontal="right" vertical="center"/>
    </xf>
    <xf numFmtId="0" fontId="33" fillId="16" borderId="193" xfId="0" applyFont="1" applyFill="1" applyBorder="1" applyAlignment="1">
      <alignment vertical="center"/>
    </xf>
    <xf numFmtId="0" fontId="33" fillId="0" borderId="192" xfId="0" applyNumberFormat="1" applyFont="1" applyBorder="1"/>
    <xf numFmtId="166" fontId="33" fillId="0" borderId="192" xfId="0" applyNumberFormat="1" applyFont="1" applyBorder="1"/>
    <xf numFmtId="0" fontId="33" fillId="16" borderId="165" xfId="0" applyFont="1" applyFill="1" applyBorder="1" applyAlignment="1">
      <alignment vertical="center"/>
    </xf>
    <xf numFmtId="166" fontId="33" fillId="0" borderId="166" xfId="0" applyNumberFormat="1" applyFont="1" applyBorder="1"/>
    <xf numFmtId="0" fontId="29" fillId="0" borderId="182" xfId="0" applyFont="1" applyBorder="1" applyAlignment="1">
      <alignment horizontal="center"/>
    </xf>
    <xf numFmtId="0" fontId="29" fillId="0" borderId="182" xfId="49" applyFont="1" applyBorder="1" applyAlignment="1">
      <alignment horizontal="center"/>
    </xf>
    <xf numFmtId="0" fontId="33" fillId="16" borderId="182" xfId="0" applyFont="1" applyFill="1" applyBorder="1" applyAlignment="1">
      <alignment vertical="center"/>
    </xf>
    <xf numFmtId="166" fontId="33" fillId="0" borderId="91" xfId="0" applyNumberFormat="1" applyFont="1" applyBorder="1"/>
    <xf numFmtId="0" fontId="33" fillId="16" borderId="159" xfId="0" applyFont="1" applyFill="1" applyBorder="1" applyAlignment="1">
      <alignment vertical="center"/>
    </xf>
    <xf numFmtId="166" fontId="33" fillId="0" borderId="190" xfId="0" applyNumberFormat="1" applyFont="1" applyBorder="1"/>
    <xf numFmtId="0" fontId="33" fillId="16" borderId="197" xfId="0" applyFont="1" applyFill="1" applyBorder="1" applyAlignment="1">
      <alignment vertical="center"/>
    </xf>
    <xf numFmtId="166" fontId="33" fillId="0" borderId="198" xfId="0" applyNumberFormat="1" applyFont="1" applyBorder="1"/>
    <xf numFmtId="0" fontId="33" fillId="43" borderId="194" xfId="0" applyFont="1" applyFill="1" applyBorder="1"/>
    <xf numFmtId="0" fontId="32" fillId="0" borderId="199" xfId="0" applyFont="1" applyBorder="1"/>
    <xf numFmtId="0" fontId="33" fillId="43" borderId="194" xfId="0" applyFont="1" applyFill="1" applyBorder="1" applyAlignment="1">
      <alignment vertical="center"/>
    </xf>
    <xf numFmtId="0" fontId="33" fillId="43" borderId="195" xfId="0" applyFont="1" applyFill="1" applyBorder="1"/>
    <xf numFmtId="0" fontId="32" fillId="43" borderId="196" xfId="0" applyFont="1" applyFill="1" applyBorder="1" applyAlignment="1">
      <alignment horizontal="right" vertical="center"/>
    </xf>
    <xf numFmtId="4" fontId="32" fillId="0" borderId="200" xfId="0" applyNumberFormat="1" applyFont="1" applyBorder="1"/>
    <xf numFmtId="0" fontId="33" fillId="0" borderId="192" xfId="0" applyFont="1" applyBorder="1"/>
    <xf numFmtId="176" fontId="33" fillId="0" borderId="192" xfId="0" applyNumberFormat="1" applyFont="1" applyBorder="1"/>
    <xf numFmtId="174" fontId="32" fillId="55" borderId="60" xfId="0" applyNumberFormat="1" applyFont="1" applyFill="1" applyBorder="1"/>
    <xf numFmtId="2" fontId="32" fillId="0" borderId="199" xfId="0" applyNumberFormat="1" applyFont="1" applyBorder="1"/>
    <xf numFmtId="175" fontId="33" fillId="0" borderId="192" xfId="0" applyNumberFormat="1" applyFont="1" applyBorder="1" applyAlignment="1">
      <alignment horizontal="center"/>
    </xf>
    <xf numFmtId="166" fontId="33" fillId="0" borderId="48" xfId="65" applyFont="1" applyFill="1" applyBorder="1" applyAlignment="1" applyProtection="1"/>
    <xf numFmtId="0" fontId="35" fillId="40" borderId="90"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33" fillId="16" borderId="203" xfId="0" applyFont="1" applyFill="1" applyBorder="1" applyAlignment="1">
      <alignment vertical="center"/>
    </xf>
    <xf numFmtId="166" fontId="33" fillId="0" borderId="205" xfId="0" applyNumberFormat="1" applyFont="1" applyFill="1" applyBorder="1" applyAlignment="1">
      <alignment horizontal="center"/>
    </xf>
    <xf numFmtId="174" fontId="32" fillId="50" borderId="60" xfId="0" applyNumberFormat="1" applyFont="1" applyFill="1" applyBorder="1"/>
    <xf numFmtId="0" fontId="35" fillId="40" borderId="224" xfId="47" applyFont="1" applyFill="1" applyBorder="1" applyAlignment="1">
      <alignment horizontal="center" vertical="center" wrapText="1"/>
    </xf>
    <xf numFmtId="0" fontId="35" fillId="40" borderId="225" xfId="47" applyFont="1" applyFill="1" applyBorder="1" applyAlignment="1">
      <alignment horizontal="center" vertical="center" wrapText="1"/>
    </xf>
    <xf numFmtId="0" fontId="35" fillId="40" borderId="226" xfId="47" applyFont="1" applyFill="1" applyBorder="1" applyAlignment="1">
      <alignment horizontal="center" vertical="center" wrapText="1"/>
    </xf>
    <xf numFmtId="0" fontId="29" fillId="0" borderId="218" xfId="0" applyFont="1" applyFill="1" applyBorder="1"/>
    <xf numFmtId="0" fontId="29" fillId="0" borderId="219" xfId="0" applyFont="1" applyFill="1" applyBorder="1" applyAlignment="1">
      <alignment horizontal="center" vertical="center"/>
    </xf>
    <xf numFmtId="44" fontId="29" fillId="0" borderId="223" xfId="50" applyNumberFormat="1" applyFont="1" applyFill="1" applyBorder="1" applyAlignment="1">
      <alignment horizontal="center" vertical="center"/>
    </xf>
    <xf numFmtId="0" fontId="29" fillId="0" borderId="218" xfId="50" applyNumberFormat="1" applyFont="1" applyFill="1" applyBorder="1" applyAlignment="1">
      <alignment horizontal="center" vertical="center"/>
    </xf>
    <xf numFmtId="44" fontId="29" fillId="0" borderId="212" xfId="50" applyNumberFormat="1" applyFont="1" applyFill="1" applyBorder="1" applyAlignment="1">
      <alignment horizontal="center" vertical="center"/>
    </xf>
    <xf numFmtId="0" fontId="29" fillId="0" borderId="214" xfId="50" applyNumberFormat="1" applyFont="1" applyFill="1" applyBorder="1" applyAlignment="1">
      <alignment horizontal="center" vertical="center"/>
    </xf>
    <xf numFmtId="44" fontId="29" fillId="24" borderId="215" xfId="48" applyNumberFormat="1" applyFont="1" applyFill="1" applyBorder="1" applyAlignment="1">
      <alignment horizontal="center" vertical="center"/>
    </xf>
    <xf numFmtId="0" fontId="29" fillId="0" borderId="213" xfId="0" applyFont="1" applyFill="1" applyBorder="1"/>
    <xf numFmtId="0" fontId="29" fillId="0" borderId="218" xfId="0" applyFont="1" applyFill="1" applyBorder="1" applyAlignment="1">
      <alignment wrapText="1"/>
    </xf>
    <xf numFmtId="0" fontId="29" fillId="0" borderId="227" xfId="0" applyFont="1" applyFill="1" applyBorder="1"/>
    <xf numFmtId="0" fontId="29" fillId="0" borderId="228" xfId="0" applyFont="1" applyFill="1" applyBorder="1" applyAlignment="1">
      <alignment horizontal="center" vertical="center"/>
    </xf>
    <xf numFmtId="44" fontId="29" fillId="0" borderId="211" xfId="50" applyNumberFormat="1" applyFont="1" applyFill="1" applyBorder="1" applyAlignment="1">
      <alignment horizontal="center" vertical="center"/>
    </xf>
    <xf numFmtId="0" fontId="29" fillId="0" borderId="224" xfId="50" applyNumberFormat="1" applyFont="1" applyFill="1" applyBorder="1" applyAlignment="1">
      <alignment horizontal="center" vertical="center"/>
    </xf>
    <xf numFmtId="0" fontId="29" fillId="0" borderId="226" xfId="50" applyNumberFormat="1" applyFont="1" applyFill="1" applyBorder="1" applyAlignment="1">
      <alignment horizontal="center" vertical="center"/>
    </xf>
    <xf numFmtId="44" fontId="29" fillId="24" borderId="225" xfId="48" applyNumberFormat="1" applyFont="1" applyFill="1" applyBorder="1" applyAlignment="1">
      <alignment horizontal="center" vertical="center"/>
    </xf>
    <xf numFmtId="0" fontId="28" fillId="25" borderId="216" xfId="47" applyFont="1" applyFill="1" applyBorder="1" applyAlignment="1">
      <alignment vertical="center"/>
    </xf>
    <xf numFmtId="0" fontId="28" fillId="25" borderId="216" xfId="47" applyFont="1" applyFill="1" applyBorder="1" applyAlignment="1">
      <alignment horizontal="center" vertical="center"/>
    </xf>
    <xf numFmtId="44" fontId="28" fillId="25" borderId="202" xfId="47" applyNumberFormat="1" applyFont="1" applyFill="1" applyBorder="1" applyAlignment="1">
      <alignment vertical="center"/>
    </xf>
    <xf numFmtId="44" fontId="28" fillId="25" borderId="202" xfId="48" applyNumberFormat="1" applyFont="1" applyFill="1" applyBorder="1" applyAlignment="1">
      <alignment horizontal="center" vertical="center"/>
    </xf>
    <xf numFmtId="0" fontId="29" fillId="0" borderId="224" xfId="0" applyFont="1" applyFill="1" applyBorder="1"/>
    <xf numFmtId="44" fontId="29" fillId="0" borderId="229" xfId="50" applyNumberFormat="1" applyFont="1" applyFill="1" applyBorder="1" applyAlignment="1">
      <alignment horizontal="center" vertical="center"/>
    </xf>
    <xf numFmtId="0" fontId="29" fillId="63" borderId="156" xfId="50" applyNumberFormat="1" applyFont="1" applyFill="1" applyBorder="1" applyAlignment="1">
      <alignment horizontal="center" vertical="center"/>
    </xf>
    <xf numFmtId="0" fontId="29" fillId="63" borderId="201" xfId="50" applyNumberFormat="1" applyFont="1" applyFill="1" applyBorder="1" applyAlignment="1">
      <alignment horizontal="center" vertical="center"/>
    </xf>
    <xf numFmtId="174" fontId="32" fillId="61" borderId="209" xfId="0" applyNumberFormat="1" applyFont="1" applyFill="1" applyBorder="1"/>
    <xf numFmtId="174" fontId="32" fillId="61" borderId="60" xfId="0" applyNumberFormat="1" applyFont="1" applyFill="1" applyBorder="1"/>
    <xf numFmtId="0" fontId="29" fillId="24" borderId="220" xfId="47" applyFont="1" applyFill="1" applyBorder="1" applyAlignment="1">
      <alignment horizontal="center" vertical="center"/>
    </xf>
    <xf numFmtId="0" fontId="29" fillId="24" borderId="221" xfId="47" applyFont="1" applyFill="1" applyBorder="1" applyAlignment="1">
      <alignment horizontal="center" vertical="center"/>
    </xf>
    <xf numFmtId="0" fontId="29" fillId="24" borderId="180" xfId="47" applyFont="1" applyFill="1" applyBorder="1" applyAlignment="1">
      <alignment horizontal="center" vertical="center"/>
    </xf>
    <xf numFmtId="0" fontId="28" fillId="25" borderId="227" xfId="47" applyFont="1" applyFill="1" applyBorder="1" applyAlignment="1">
      <alignment horizontal="center" vertical="center"/>
    </xf>
    <xf numFmtId="44" fontId="28" fillId="25" borderId="225"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25" xfId="46" applyFont="1" applyFill="1" applyBorder="1" applyAlignment="1">
      <alignment horizontal="center" vertical="center"/>
    </xf>
    <xf numFmtId="174" fontId="32" fillId="62" borderId="60" xfId="0" applyNumberFormat="1" applyFont="1" applyFill="1" applyBorder="1" applyAlignment="1">
      <alignment vertical="center"/>
    </xf>
    <xf numFmtId="174" fontId="32" fillId="61" borderId="209" xfId="0" applyNumberFormat="1" applyFont="1" applyFill="1" applyBorder="1" applyAlignment="1">
      <alignment vertical="center"/>
    </xf>
    <xf numFmtId="174" fontId="32" fillId="57" borderId="209" xfId="0" applyNumberFormat="1" applyFont="1" applyFill="1" applyBorder="1"/>
    <xf numFmtId="174" fontId="32" fillId="57" borderId="60" xfId="0" applyNumberFormat="1" applyFont="1" applyFill="1" applyBorder="1"/>
    <xf numFmtId="174" fontId="32" fillId="50" borderId="233" xfId="0" applyNumberFormat="1" applyFont="1" applyFill="1" applyBorder="1" applyAlignment="1"/>
    <xf numFmtId="174" fontId="32" fillId="68" borderId="234" xfId="0" applyNumberFormat="1" applyFont="1" applyFill="1" applyBorder="1"/>
    <xf numFmtId="174" fontId="32" fillId="52" borderId="209" xfId="0" applyNumberFormat="1" applyFont="1" applyFill="1" applyBorder="1" applyAlignment="1">
      <alignment vertical="center"/>
    </xf>
    <xf numFmtId="174" fontId="32" fillId="62" borderId="60" xfId="0" applyNumberFormat="1" applyFont="1" applyFill="1" applyBorder="1"/>
    <xf numFmtId="174" fontId="32" fillId="68" borderId="60" xfId="0" applyNumberFormat="1" applyFont="1" applyFill="1" applyBorder="1"/>
    <xf numFmtId="174" fontId="32" fillId="54" borderId="60" xfId="0" applyNumberFormat="1" applyFont="1" applyFill="1" applyBorder="1"/>
    <xf numFmtId="174" fontId="32" fillId="50" borderId="237" xfId="0" applyNumberFormat="1" applyFont="1" applyFill="1" applyBorder="1" applyAlignment="1"/>
    <xf numFmtId="8" fontId="32" fillId="56" borderId="209" xfId="0" applyNumberFormat="1" applyFont="1" applyFill="1" applyBorder="1" applyAlignment="1">
      <alignment vertical="center"/>
    </xf>
    <xf numFmtId="174" fontId="32" fillId="52" borderId="89" xfId="0" applyNumberFormat="1" applyFont="1" applyFill="1" applyBorder="1" applyAlignment="1">
      <alignment vertical="center"/>
    </xf>
    <xf numFmtId="174" fontId="32" fillId="66" borderId="60" xfId="0" applyNumberFormat="1" applyFont="1" applyFill="1" applyBorder="1"/>
    <xf numFmtId="174" fontId="32" fillId="70" borderId="60" xfId="0" applyNumberFormat="1" applyFont="1" applyFill="1" applyBorder="1"/>
    <xf numFmtId="174" fontId="32" fillId="69" borderId="60" xfId="0" applyNumberFormat="1" applyFont="1" applyFill="1" applyBorder="1"/>
    <xf numFmtId="1" fontId="33" fillId="41" borderId="150" xfId="0" applyNumberFormat="1" applyFont="1" applyFill="1" applyBorder="1" applyAlignment="1">
      <alignment horizontal="center" vertical="center"/>
    </xf>
    <xf numFmtId="174" fontId="32" fillId="68" borderId="225" xfId="0" applyNumberFormat="1" applyFont="1" applyFill="1" applyBorder="1"/>
    <xf numFmtId="174" fontId="32" fillId="65" borderId="209" xfId="0" applyNumberFormat="1" applyFont="1" applyFill="1" applyBorder="1" applyAlignment="1">
      <alignment vertical="center"/>
    </xf>
    <xf numFmtId="174" fontId="33" fillId="0" borderId="205" xfId="0" applyNumberFormat="1" applyFont="1" applyFill="1" applyBorder="1" applyAlignment="1">
      <alignment horizontal="right"/>
    </xf>
    <xf numFmtId="2" fontId="32" fillId="0" borderId="247" xfId="0" applyNumberFormat="1" applyFont="1" applyBorder="1"/>
    <xf numFmtId="0" fontId="33" fillId="16" borderId="218" xfId="0" applyFont="1" applyFill="1" applyBorder="1" applyAlignment="1">
      <alignment vertical="center"/>
    </xf>
    <xf numFmtId="166" fontId="33" fillId="0" borderId="219" xfId="0" applyNumberFormat="1" applyFont="1" applyBorder="1"/>
    <xf numFmtId="166" fontId="33" fillId="0" borderId="33" xfId="0" applyNumberFormat="1" applyFont="1" applyFill="1" applyBorder="1"/>
    <xf numFmtId="0" fontId="33" fillId="16" borderId="235" xfId="0" applyFont="1" applyFill="1" applyBorder="1" applyAlignment="1">
      <alignment vertical="center"/>
    </xf>
    <xf numFmtId="0" fontId="33" fillId="0" borderId="236" xfId="0" applyNumberFormat="1" applyFont="1" applyBorder="1"/>
    <xf numFmtId="166" fontId="33" fillId="0" borderId="236" xfId="0" applyNumberFormat="1" applyFont="1" applyBorder="1"/>
    <xf numFmtId="2" fontId="33" fillId="0" borderId="248" xfId="0" applyNumberFormat="1" applyFont="1" applyBorder="1"/>
    <xf numFmtId="0" fontId="29" fillId="0" borderId="39" xfId="0" applyFont="1" applyFill="1" applyBorder="1" applyAlignment="1">
      <alignment wrapText="1"/>
    </xf>
    <xf numFmtId="0" fontId="29" fillId="24" borderId="47" xfId="50" applyNumberFormat="1" applyFont="1" applyFill="1" applyBorder="1" applyAlignment="1">
      <alignment horizontal="center" vertical="center"/>
    </xf>
    <xf numFmtId="0" fontId="29" fillId="0" borderId="39" xfId="0" applyFont="1" applyFill="1" applyBorder="1" applyAlignment="1">
      <alignment horizontal="left" wrapText="1"/>
    </xf>
    <xf numFmtId="0" fontId="35" fillId="40" borderId="150" xfId="47" applyFont="1" applyFill="1" applyBorder="1" applyAlignment="1">
      <alignment horizontal="center" vertical="center" wrapText="1"/>
    </xf>
    <xf numFmtId="0" fontId="28" fillId="25" borderId="67" xfId="47" applyFont="1" applyFill="1" applyBorder="1" applyAlignment="1">
      <alignment horizontal="center" vertical="center"/>
    </xf>
    <xf numFmtId="9" fontId="29" fillId="0" borderId="244" xfId="51" applyFont="1" applyFill="1" applyBorder="1" applyAlignment="1">
      <alignment horizontal="center" vertical="center"/>
    </xf>
    <xf numFmtId="9" fontId="29" fillId="0" borderId="254" xfId="51" applyFont="1" applyFill="1" applyBorder="1" applyAlignment="1">
      <alignment horizontal="center" vertical="center"/>
    </xf>
    <xf numFmtId="0" fontId="29" fillId="24" borderId="204" xfId="47" applyFont="1" applyFill="1" applyBorder="1" applyAlignment="1">
      <alignment horizontal="center" vertical="center"/>
    </xf>
    <xf numFmtId="0" fontId="29" fillId="24" borderId="175" xfId="47" applyFont="1" applyFill="1" applyBorder="1" applyAlignment="1">
      <alignment horizontal="center" vertical="center"/>
    </xf>
    <xf numFmtId="0" fontId="29" fillId="24" borderId="218" xfId="47" applyFont="1" applyFill="1" applyBorder="1" applyAlignment="1">
      <alignment horizontal="center" vertical="center"/>
    </xf>
    <xf numFmtId="0" fontId="29" fillId="24" borderId="250" xfId="47" applyFont="1" applyFill="1" applyBorder="1" applyAlignment="1">
      <alignment horizontal="center" vertical="center"/>
    </xf>
    <xf numFmtId="0" fontId="29" fillId="24" borderId="256" xfId="47" applyFont="1" applyFill="1" applyBorder="1" applyAlignment="1">
      <alignment horizontal="center" vertical="center"/>
    </xf>
    <xf numFmtId="0" fontId="29" fillId="24" borderId="243" xfId="47" applyFont="1" applyFill="1" applyBorder="1" applyAlignment="1">
      <alignment horizontal="center" vertical="center"/>
    </xf>
    <xf numFmtId="9" fontId="29" fillId="24" borderId="244" xfId="51" applyFont="1" applyFill="1" applyBorder="1" applyAlignment="1">
      <alignment horizontal="center" vertical="center"/>
    </xf>
    <xf numFmtId="9" fontId="29" fillId="24" borderId="254" xfId="51" applyFont="1" applyFill="1" applyBorder="1" applyAlignment="1">
      <alignment horizontal="center" vertical="center"/>
    </xf>
    <xf numFmtId="44" fontId="29" fillId="24" borderId="249" xfId="47" applyNumberFormat="1" applyFont="1" applyFill="1" applyBorder="1" applyAlignment="1">
      <alignment horizontal="center" vertical="center"/>
    </xf>
    <xf numFmtId="44" fontId="29" fillId="24" borderId="253" xfId="47" applyNumberFormat="1" applyFont="1" applyFill="1" applyBorder="1" applyAlignment="1">
      <alignment horizontal="center" vertical="center"/>
    </xf>
    <xf numFmtId="44" fontId="29" fillId="24" borderId="245" xfId="47" applyNumberFormat="1" applyFont="1" applyFill="1" applyBorder="1" applyAlignment="1">
      <alignment horizontal="center" vertical="center"/>
    </xf>
    <xf numFmtId="44" fontId="29" fillId="24" borderId="255" xfId="47" applyNumberFormat="1" applyFont="1" applyFill="1" applyBorder="1" applyAlignment="1">
      <alignment horizontal="center" vertical="center"/>
    </xf>
    <xf numFmtId="0" fontId="29" fillId="24" borderId="224" xfId="47" applyFont="1" applyFill="1" applyBorder="1" applyAlignment="1">
      <alignment horizontal="center" vertical="center"/>
    </xf>
    <xf numFmtId="9" fontId="29" fillId="24" borderId="61"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2"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6" xfId="33" applyFont="1" applyFill="1" applyBorder="1" applyAlignment="1">
      <alignment vertical="center"/>
    </xf>
    <xf numFmtId="167" fontId="28" fillId="25" borderId="60" xfId="46" applyFont="1" applyFill="1" applyBorder="1" applyAlignment="1">
      <alignment horizontal="center" vertical="center"/>
    </xf>
    <xf numFmtId="0" fontId="29" fillId="24" borderId="218" xfId="47" applyFont="1" applyFill="1" applyBorder="1" applyAlignment="1">
      <alignment horizontal="left" vertical="center"/>
    </xf>
    <xf numFmtId="0" fontId="29" fillId="24" borderId="224" xfId="47" applyFont="1" applyFill="1" applyBorder="1" applyAlignment="1">
      <alignment horizontal="left" vertical="center"/>
    </xf>
    <xf numFmtId="0" fontId="29" fillId="24" borderId="243" xfId="47" applyFont="1" applyFill="1" applyBorder="1" applyAlignment="1">
      <alignment horizontal="justify" vertical="center" wrapText="1"/>
    </xf>
    <xf numFmtId="9" fontId="29" fillId="0" borderId="61" xfId="51" applyFont="1" applyFill="1" applyBorder="1" applyAlignment="1">
      <alignment horizontal="center" vertical="center"/>
    </xf>
    <xf numFmtId="0" fontId="29" fillId="24" borderId="243" xfId="47" applyFont="1" applyFill="1" applyBorder="1" applyAlignment="1">
      <alignment horizontal="left" vertical="center"/>
    </xf>
    <xf numFmtId="44" fontId="29" fillId="24" borderId="245" xfId="64" applyFont="1" applyFill="1" applyBorder="1" applyAlignment="1">
      <alignment horizontal="center" vertical="center"/>
    </xf>
    <xf numFmtId="44" fontId="29" fillId="24" borderId="255" xfId="64" applyFont="1" applyFill="1" applyBorder="1" applyAlignment="1">
      <alignment horizontal="center" vertical="center"/>
    </xf>
    <xf numFmtId="44" fontId="29" fillId="24" borderId="249" xfId="64" applyFont="1" applyFill="1" applyBorder="1" applyAlignment="1">
      <alignment horizontal="center" vertical="center"/>
    </xf>
    <xf numFmtId="44" fontId="29" fillId="24" borderId="253" xfId="64" applyFont="1" applyFill="1" applyBorder="1" applyAlignment="1">
      <alignment horizontal="center" vertical="center"/>
    </xf>
    <xf numFmtId="0" fontId="29" fillId="0" borderId="222" xfId="49" applyFont="1" applyBorder="1" applyAlignment="1">
      <alignment horizontal="center"/>
    </xf>
    <xf numFmtId="177" fontId="33" fillId="0" borderId="100" xfId="0" applyNumberFormat="1" applyFont="1" applyBorder="1"/>
    <xf numFmtId="0" fontId="32" fillId="42" borderId="0" xfId="0" applyFont="1" applyFill="1" applyProtection="1"/>
    <xf numFmtId="177" fontId="33" fillId="0" borderId="187" xfId="0" applyNumberFormat="1" applyFont="1" applyBorder="1"/>
    <xf numFmtId="177" fontId="33" fillId="0" borderId="33" xfId="0" applyNumberFormat="1" applyFont="1" applyFill="1" applyBorder="1"/>
    <xf numFmtId="177" fontId="33" fillId="0" borderId="190" xfId="0" applyNumberFormat="1" applyFont="1" applyBorder="1"/>
    <xf numFmtId="177" fontId="33" fillId="0" borderId="192" xfId="0" applyNumberFormat="1" applyFont="1" applyBorder="1"/>
    <xf numFmtId="39" fontId="49" fillId="42" borderId="0" xfId="0" applyNumberFormat="1" applyFont="1" applyFill="1" applyProtection="1"/>
    <xf numFmtId="0" fontId="50" fillId="16" borderId="57" xfId="0" applyFont="1" applyFill="1" applyBorder="1" applyAlignment="1">
      <alignment vertical="center"/>
    </xf>
    <xf numFmtId="0" fontId="50" fillId="16" borderId="33" xfId="0" applyFont="1" applyFill="1" applyBorder="1"/>
    <xf numFmtId="0" fontId="50" fillId="16" borderId="118" xfId="0" applyFont="1" applyFill="1" applyBorder="1"/>
    <xf numFmtId="0" fontId="49" fillId="42" borderId="0" xfId="0" applyFont="1" applyFill="1" applyBorder="1"/>
    <xf numFmtId="0" fontId="49" fillId="42" borderId="35" xfId="0" applyFont="1" applyFill="1" applyBorder="1"/>
    <xf numFmtId="0" fontId="49" fillId="16" borderId="57" xfId="0" applyNumberFormat="1" applyFont="1" applyFill="1" applyBorder="1" applyAlignment="1">
      <alignment vertical="center"/>
    </xf>
    <xf numFmtId="0" fontId="49" fillId="0" borderId="100" xfId="0" applyNumberFormat="1" applyFont="1" applyBorder="1"/>
    <xf numFmtId="166" fontId="49" fillId="0" borderId="100" xfId="0" applyNumberFormat="1" applyFont="1" applyBorder="1"/>
    <xf numFmtId="0" fontId="49" fillId="0" borderId="32" xfId="0" applyFont="1" applyBorder="1"/>
    <xf numFmtId="0" fontId="49" fillId="16" borderId="193" xfId="0" applyNumberFormat="1" applyFont="1" applyFill="1" applyBorder="1" applyAlignment="1">
      <alignment vertical="center"/>
    </xf>
    <xf numFmtId="166" fontId="49" fillId="0" borderId="192" xfId="0" applyNumberFormat="1" applyFont="1" applyBorder="1"/>
    <xf numFmtId="2" fontId="49" fillId="0" borderId="32" xfId="0" applyNumberFormat="1" applyFont="1" applyBorder="1"/>
    <xf numFmtId="0" fontId="49" fillId="43" borderId="194" xfId="0" applyFont="1" applyFill="1" applyBorder="1"/>
    <xf numFmtId="0" fontId="50" fillId="0" borderId="199" xfId="0" applyFont="1" applyBorder="1"/>
    <xf numFmtId="166" fontId="49" fillId="16" borderId="57" xfId="0" applyNumberFormat="1" applyFont="1" applyFill="1" applyBorder="1" applyAlignment="1">
      <alignment vertical="center"/>
    </xf>
    <xf numFmtId="166" fontId="49" fillId="16" borderId="193" xfId="0" applyNumberFormat="1" applyFont="1" applyFill="1" applyBorder="1" applyAlignment="1">
      <alignment vertical="center"/>
    </xf>
    <xf numFmtId="0" fontId="49" fillId="0" borderId="192" xfId="0" applyNumberFormat="1" applyFont="1" applyBorder="1"/>
    <xf numFmtId="2" fontId="50" fillId="0" borderId="199" xfId="0" applyNumberFormat="1" applyFont="1" applyBorder="1"/>
    <xf numFmtId="0" fontId="49" fillId="42" borderId="0" xfId="0" applyFont="1" applyFill="1" applyProtection="1"/>
    <xf numFmtId="0" fontId="50" fillId="16" borderId="102"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0" xfId="0" applyNumberFormat="1" applyFont="1" applyFill="1" applyBorder="1"/>
    <xf numFmtId="174" fontId="50" fillId="0" borderId="101" xfId="0" applyNumberFormat="1" applyFont="1" applyFill="1" applyBorder="1"/>
    <xf numFmtId="0" fontId="49" fillId="42" borderId="35" xfId="0" applyFont="1" applyFill="1" applyBorder="1" applyProtection="1"/>
    <xf numFmtId="1" fontId="0" fillId="0" borderId="0" xfId="0" applyNumberFormat="1"/>
    <xf numFmtId="174" fontId="33" fillId="0" borderId="259" xfId="0" applyNumberFormat="1" applyFont="1" applyFill="1" applyBorder="1"/>
    <xf numFmtId="0" fontId="34" fillId="42" borderId="169" xfId="0" applyFont="1" applyFill="1" applyBorder="1" applyAlignment="1" applyProtection="1">
      <alignment horizontal="left"/>
    </xf>
    <xf numFmtId="0" fontId="33" fillId="42" borderId="11" xfId="0" applyFont="1" applyFill="1" applyBorder="1"/>
    <xf numFmtId="174" fontId="33" fillId="0" borderId="277" xfId="0" applyNumberFormat="1" applyFont="1" applyFill="1" applyBorder="1"/>
    <xf numFmtId="0" fontId="32" fillId="16" borderId="278" xfId="0" applyFont="1" applyFill="1" applyBorder="1" applyAlignment="1">
      <alignment vertical="center"/>
    </xf>
    <xf numFmtId="174" fontId="32" fillId="68" borderId="281" xfId="0" applyNumberFormat="1" applyFont="1" applyFill="1" applyBorder="1" applyAlignment="1"/>
    <xf numFmtId="174" fontId="32" fillId="61" borderId="245" xfId="0" applyNumberFormat="1" applyFont="1" applyFill="1" applyBorder="1" applyAlignment="1">
      <alignment vertical="center"/>
    </xf>
    <xf numFmtId="174" fontId="32" fillId="69" borderId="245" xfId="0" applyNumberFormat="1" applyFont="1" applyFill="1" applyBorder="1"/>
    <xf numFmtId="174" fontId="32" fillId="54" borderId="154" xfId="0" applyNumberFormat="1" applyFont="1" applyFill="1" applyBorder="1"/>
    <xf numFmtId="1" fontId="33" fillId="41" borderId="245" xfId="0" applyNumberFormat="1" applyFont="1" applyFill="1" applyBorder="1" applyAlignment="1">
      <alignment horizontal="center" vertical="center"/>
    </xf>
    <xf numFmtId="1" fontId="33" fillId="41" borderId="284" xfId="0" applyNumberFormat="1" applyFont="1" applyFill="1" applyBorder="1" applyAlignment="1">
      <alignment horizontal="center" vertical="center"/>
    </xf>
    <xf numFmtId="1" fontId="33" fillId="41" borderId="285" xfId="0" applyNumberFormat="1" applyFont="1" applyFill="1" applyBorder="1" applyAlignment="1">
      <alignment horizontal="center" vertical="center"/>
    </xf>
    <xf numFmtId="174" fontId="33" fillId="0" borderId="288" xfId="0" applyNumberFormat="1" applyFont="1" applyFill="1" applyBorder="1"/>
    <xf numFmtId="174" fontId="33" fillId="0" borderId="289" xfId="0" applyNumberFormat="1" applyFont="1" applyFill="1" applyBorder="1"/>
    <xf numFmtId="0" fontId="32" fillId="16" borderId="290" xfId="0" applyFont="1" applyFill="1" applyBorder="1" applyAlignment="1">
      <alignment vertical="center"/>
    </xf>
    <xf numFmtId="0" fontId="32" fillId="16" borderId="291" xfId="0" applyFont="1" applyFill="1" applyBorder="1" applyAlignment="1">
      <alignment vertical="center"/>
    </xf>
    <xf numFmtId="174" fontId="33" fillId="0" borderId="292" xfId="0" applyNumberFormat="1" applyFont="1" applyFill="1" applyBorder="1"/>
    <xf numFmtId="174" fontId="33" fillId="0" borderId="293" xfId="0" applyNumberFormat="1" applyFont="1" applyFill="1" applyBorder="1"/>
    <xf numFmtId="174" fontId="32" fillId="50" borderId="296" xfId="0" applyNumberFormat="1" applyFont="1" applyFill="1" applyBorder="1" applyAlignment="1">
      <alignment vertical="center"/>
    </xf>
    <xf numFmtId="174" fontId="32" fillId="66" borderId="245" xfId="0" applyNumberFormat="1" applyFont="1" applyFill="1" applyBorder="1"/>
    <xf numFmtId="174" fontId="32" fillId="70" borderId="245" xfId="0" applyNumberFormat="1" applyFont="1" applyFill="1" applyBorder="1"/>
    <xf numFmtId="1" fontId="33" fillId="41" borderId="296" xfId="0" applyNumberFormat="1" applyFont="1" applyFill="1" applyBorder="1" applyAlignment="1">
      <alignment horizontal="center" vertical="center"/>
    </xf>
    <xf numFmtId="174" fontId="32" fillId="50" borderId="296" xfId="0" applyNumberFormat="1" applyFont="1" applyFill="1" applyBorder="1" applyAlignment="1"/>
    <xf numFmtId="1" fontId="33" fillId="72" borderId="245" xfId="0" applyNumberFormat="1" applyFont="1" applyFill="1" applyBorder="1" applyAlignment="1">
      <alignment horizontal="center" vertical="center"/>
    </xf>
    <xf numFmtId="1" fontId="33" fillId="72" borderId="296" xfId="0" applyNumberFormat="1" applyFont="1" applyFill="1" applyBorder="1" applyAlignment="1">
      <alignment horizontal="center" vertical="center"/>
    </xf>
    <xf numFmtId="174" fontId="32" fillId="51" borderId="296" xfId="0" applyNumberFormat="1" applyFont="1" applyFill="1" applyBorder="1"/>
    <xf numFmtId="1" fontId="32" fillId="51" borderId="296" xfId="0" applyNumberFormat="1" applyFont="1" applyFill="1" applyBorder="1" applyAlignment="1">
      <alignment horizontal="center" vertical="center"/>
    </xf>
    <xf numFmtId="1" fontId="32" fillId="51" borderId="60" xfId="0" applyNumberFormat="1" applyFont="1" applyFill="1" applyBorder="1" applyAlignment="1">
      <alignment horizontal="center" vertical="center"/>
    </xf>
    <xf numFmtId="0" fontId="41" fillId="0" borderId="28" xfId="49" applyFont="1" applyBorder="1" applyAlignment="1">
      <alignment horizont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10" fontId="41" fillId="0" borderId="24" xfId="35" applyNumberFormat="1" applyFont="1" applyBorder="1" applyAlignment="1" applyProtection="1">
      <alignment horizontal="center" vertical="center"/>
    </xf>
    <xf numFmtId="10" fontId="53" fillId="32" borderId="19" xfId="49" applyNumberFormat="1" applyFont="1" applyFill="1" applyBorder="1" applyAlignment="1" applyProtection="1">
      <alignment horizontal="center" vertical="center"/>
    </xf>
    <xf numFmtId="170" fontId="53" fillId="32" borderId="44" xfId="49" applyNumberFormat="1" applyFont="1" applyFill="1" applyBorder="1" applyAlignment="1" applyProtection="1">
      <alignment horizontal="right" vertical="center"/>
    </xf>
    <xf numFmtId="0" fontId="41" fillId="0" borderId="165" xfId="49" applyFont="1" applyBorder="1" applyAlignment="1">
      <alignment horizontal="center"/>
    </xf>
    <xf numFmtId="10" fontId="41" fillId="0" borderId="166" xfId="35" applyNumberFormat="1" applyFont="1" applyBorder="1" applyAlignment="1" applyProtection="1">
      <alignment horizontal="center" vertical="center"/>
    </xf>
    <xf numFmtId="170" fontId="41" fillId="0" borderId="167" xfId="50" applyNumberFormat="1" applyFont="1" applyBorder="1" applyAlignment="1" applyProtection="1">
      <alignment vertical="center"/>
    </xf>
    <xf numFmtId="10" fontId="41" fillId="0" borderId="105" xfId="35" applyNumberFormat="1" applyFont="1" applyBorder="1" applyAlignment="1" applyProtection="1">
      <alignment horizontal="center" vertical="center"/>
    </xf>
    <xf numFmtId="10" fontId="53" fillId="32" borderId="135" xfId="49" applyNumberFormat="1" applyFont="1" applyFill="1" applyBorder="1" applyAlignment="1" applyProtection="1">
      <alignment horizontal="center" vertical="center"/>
    </xf>
    <xf numFmtId="170" fontId="53" fillId="32" borderId="161" xfId="49" applyNumberFormat="1" applyFont="1" applyFill="1" applyBorder="1" applyAlignment="1" applyProtection="1">
      <alignment horizontal="right" vertical="center"/>
    </xf>
    <xf numFmtId="0" fontId="42" fillId="0" borderId="300" xfId="0" applyFont="1" applyFill="1" applyBorder="1" applyAlignment="1">
      <alignment horizontal="left" vertical="center" wrapText="1"/>
    </xf>
    <xf numFmtId="0" fontId="44" fillId="0" borderId="285" xfId="0" applyFont="1" applyFill="1" applyBorder="1" applyAlignment="1">
      <alignment horizontal="left" vertical="center" wrapText="1"/>
    </xf>
    <xf numFmtId="0" fontId="44" fillId="0" borderId="150" xfId="0" applyFont="1" applyFill="1" applyBorder="1" applyAlignment="1">
      <alignment horizontal="left" vertical="center" wrapText="1"/>
    </xf>
    <xf numFmtId="0" fontId="44" fillId="48" borderId="150" xfId="0" applyFont="1" applyFill="1" applyBorder="1" applyAlignment="1">
      <alignment horizontal="left" vertical="center" wrapText="1"/>
    </xf>
    <xf numFmtId="0" fontId="44" fillId="0" borderId="150" xfId="0" applyFont="1" applyFill="1" applyBorder="1" applyAlignment="1">
      <alignment horizontal="justify" vertical="center" wrapText="1"/>
    </xf>
    <xf numFmtId="0" fontId="42" fillId="0" borderId="300" xfId="0" applyFont="1" applyFill="1" applyBorder="1" applyAlignment="1">
      <alignment horizontal="center" vertical="center" wrapText="1"/>
    </xf>
    <xf numFmtId="0" fontId="44" fillId="0" borderId="296" xfId="0" applyFont="1" applyFill="1" applyBorder="1" applyAlignment="1">
      <alignment horizontal="justify" vertical="center" wrapText="1"/>
    </xf>
    <xf numFmtId="0" fontId="46" fillId="0" borderId="296" xfId="49" applyFont="1" applyFill="1" applyBorder="1" applyAlignment="1">
      <alignment horizontal="justify" vertical="center"/>
    </xf>
    <xf numFmtId="0" fontId="44" fillId="0" borderId="296" xfId="0" applyFont="1" applyFill="1" applyBorder="1" applyAlignment="1">
      <alignment horizontal="left" vertical="center" wrapText="1"/>
    </xf>
    <xf numFmtId="0" fontId="42" fillId="48" borderId="300" xfId="0" applyFont="1" applyFill="1" applyBorder="1" applyAlignment="1">
      <alignment horizontal="left" vertical="center" wrapText="1"/>
    </xf>
    <xf numFmtId="0" fontId="44" fillId="48" borderId="296" xfId="0" applyFont="1" applyFill="1" applyBorder="1" applyAlignment="1">
      <alignment horizontal="justify" vertical="center" wrapText="1"/>
    </xf>
    <xf numFmtId="0" fontId="42" fillId="0" borderId="302" xfId="0" applyFont="1" applyFill="1" applyBorder="1" applyAlignment="1">
      <alignment horizontal="left" vertical="center" wrapText="1"/>
    </xf>
    <xf numFmtId="0" fontId="44" fillId="0" borderId="285" xfId="0" applyFont="1" applyFill="1" applyBorder="1" applyAlignment="1">
      <alignment horizontal="justify" vertical="center" wrapText="1"/>
    </xf>
    <xf numFmtId="0" fontId="42" fillId="48" borderId="296" xfId="0" applyFont="1" applyFill="1" applyBorder="1" applyAlignment="1">
      <alignment horizontal="justify" vertical="center" wrapText="1"/>
    </xf>
    <xf numFmtId="10" fontId="29" fillId="49" borderId="54" xfId="51" applyNumberFormat="1" applyFont="1" applyFill="1" applyBorder="1" applyAlignment="1" applyProtection="1">
      <alignment horizontal="center" vertical="center"/>
    </xf>
    <xf numFmtId="10" fontId="29" fillId="49" borderId="172" xfId="51" applyNumberFormat="1" applyFont="1" applyFill="1" applyBorder="1" applyAlignment="1" applyProtection="1">
      <alignment horizontal="center" vertical="center"/>
    </xf>
    <xf numFmtId="10" fontId="29" fillId="55" borderId="26" xfId="35" applyNumberFormat="1" applyFont="1" applyFill="1" applyBorder="1" applyAlignment="1" applyProtection="1">
      <alignment horizontal="center" vertical="center"/>
    </xf>
    <xf numFmtId="10" fontId="29" fillId="55" borderId="166" xfId="35" applyNumberFormat="1" applyFont="1" applyFill="1" applyBorder="1" applyAlignment="1" applyProtection="1">
      <alignment horizontal="center" vertical="center"/>
    </xf>
    <xf numFmtId="10" fontId="29" fillId="55" borderId="54" xfId="35" applyNumberFormat="1" applyFont="1" applyFill="1" applyBorder="1" applyAlignment="1" applyProtection="1">
      <alignment horizontal="center" vertical="center"/>
    </xf>
    <xf numFmtId="10" fontId="29" fillId="55" borderId="172" xfId="35" applyNumberFormat="1" applyFont="1" applyFill="1" applyBorder="1" applyAlignment="1" applyProtection="1">
      <alignment horizontal="center" vertical="center"/>
    </xf>
    <xf numFmtId="10" fontId="29" fillId="55" borderId="54" xfId="51" applyNumberFormat="1" applyFont="1" applyFill="1" applyBorder="1" applyAlignment="1" applyProtection="1">
      <alignment horizontal="center" vertical="center"/>
    </xf>
    <xf numFmtId="10" fontId="29" fillId="55" borderId="172" xfId="51" applyNumberFormat="1" applyFont="1" applyFill="1" applyBorder="1" applyAlignment="1" applyProtection="1">
      <alignment horizontal="center" vertical="center"/>
    </xf>
    <xf numFmtId="10" fontId="29" fillId="55" borderId="36" xfId="51" applyNumberFormat="1" applyFont="1" applyFill="1" applyBorder="1" applyAlignment="1" applyProtection="1">
      <alignment horizontal="center" vertical="center"/>
    </xf>
    <xf numFmtId="10" fontId="29" fillId="55" borderId="83" xfId="51" applyNumberFormat="1" applyFont="1" applyFill="1" applyBorder="1" applyAlignment="1" applyProtection="1">
      <alignment horizontal="center" vertical="center"/>
    </xf>
    <xf numFmtId="10" fontId="29" fillId="55" borderId="26" xfId="51" applyNumberFormat="1" applyFont="1" applyFill="1" applyBorder="1" applyAlignment="1" applyProtection="1">
      <alignment horizontal="center" vertical="center"/>
    </xf>
    <xf numFmtId="10" fontId="29" fillId="55" borderId="166"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4" xfId="35" applyNumberFormat="1" applyFont="1" applyFill="1" applyBorder="1" applyAlignment="1" applyProtection="1">
      <alignment horizontal="center" vertical="center"/>
    </xf>
    <xf numFmtId="10" fontId="29" fillId="49" borderId="166" xfId="35" applyNumberFormat="1" applyFont="1" applyFill="1" applyBorder="1" applyAlignment="1" applyProtection="1">
      <alignment horizontal="center" vertical="center"/>
    </xf>
    <xf numFmtId="10" fontId="29" fillId="49" borderId="172" xfId="35" applyNumberFormat="1" applyFont="1" applyFill="1" applyBorder="1" applyAlignment="1" applyProtection="1">
      <alignment horizontal="center" vertical="center"/>
    </xf>
    <xf numFmtId="44" fontId="29" fillId="49" borderId="54" xfId="49" applyNumberFormat="1" applyFont="1" applyFill="1" applyBorder="1" applyAlignment="1" applyProtection="1">
      <alignment horizontal="center" vertical="center"/>
    </xf>
    <xf numFmtId="44" fontId="29" fillId="49" borderId="151"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66" fontId="28" fillId="32" borderId="62" xfId="31" applyNumberFormat="1" applyFont="1" applyFill="1" applyBorder="1" applyAlignment="1" applyProtection="1">
      <alignment vertical="center"/>
    </xf>
    <xf numFmtId="0" fontId="28" fillId="32" borderId="147" xfId="49" applyFont="1" applyFill="1" applyBorder="1" applyAlignment="1" applyProtection="1">
      <alignment vertical="center"/>
    </xf>
    <xf numFmtId="1" fontId="30" fillId="32" borderId="149" xfId="49" applyNumberFormat="1" applyFont="1" applyFill="1" applyBorder="1" applyAlignment="1" applyProtection="1">
      <alignment vertical="center"/>
    </xf>
    <xf numFmtId="8" fontId="28" fillId="32" borderId="150" xfId="31" applyNumberFormat="1" applyFont="1" applyFill="1" applyBorder="1" applyAlignment="1" applyProtection="1">
      <alignment vertical="center"/>
    </xf>
    <xf numFmtId="0" fontId="28" fillId="32" borderId="150" xfId="31" applyNumberFormat="1" applyFont="1" applyFill="1" applyBorder="1" applyAlignment="1" applyProtection="1">
      <alignment vertical="center"/>
    </xf>
    <xf numFmtId="0" fontId="42" fillId="0" borderId="303"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182"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182"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252" xfId="0" applyFont="1" applyFill="1" applyBorder="1" applyAlignment="1">
      <alignment horizontal="left" vertical="center" wrapText="1"/>
    </xf>
    <xf numFmtId="0" fontId="42" fillId="0" borderId="239" xfId="0" applyFont="1" applyFill="1" applyBorder="1" applyAlignment="1">
      <alignment horizontal="left" vertical="center" wrapText="1"/>
    </xf>
    <xf numFmtId="0" fontId="38" fillId="44" borderId="243" xfId="0" applyFont="1" applyFill="1" applyBorder="1" applyAlignment="1">
      <alignment horizontal="center" vertical="center" wrapText="1"/>
    </xf>
    <xf numFmtId="0" fontId="38" fillId="44" borderId="245" xfId="0" applyFont="1" applyFill="1" applyBorder="1" applyAlignment="1">
      <alignment horizontal="center" vertical="center" wrapText="1"/>
    </xf>
    <xf numFmtId="0" fontId="38" fillId="44" borderId="42" xfId="0" applyFont="1" applyFill="1" applyBorder="1" applyAlignment="1">
      <alignment horizontal="center" vertical="center" wrapText="1"/>
    </xf>
    <xf numFmtId="0" fontId="38" fillId="44" borderId="60" xfId="0" applyFont="1" applyFill="1" applyBorder="1" applyAlignment="1">
      <alignment horizontal="center" vertical="center" wrapText="1"/>
    </xf>
    <xf numFmtId="0" fontId="42" fillId="0" borderId="39" xfId="0" applyFont="1" applyFill="1" applyBorder="1" applyAlignment="1">
      <alignment horizontal="left" vertical="center" wrapText="1"/>
    </xf>
    <xf numFmtId="0" fontId="42" fillId="0" borderId="300" xfId="0" applyFont="1" applyFill="1" applyBorder="1" applyAlignment="1">
      <alignment horizontal="left" vertical="center" wrapText="1"/>
    </xf>
    <xf numFmtId="0" fontId="42" fillId="0" borderId="302" xfId="0" applyFont="1" applyFill="1" applyBorder="1" applyAlignment="1">
      <alignment horizontal="left" vertical="center" wrapText="1"/>
    </xf>
    <xf numFmtId="0" fontId="44" fillId="0" borderId="296" xfId="0" applyFont="1" applyFill="1" applyBorder="1" applyAlignment="1">
      <alignment horizontal="left" vertical="center" wrapText="1"/>
    </xf>
    <xf numFmtId="0" fontId="42" fillId="0" borderId="300" xfId="0" applyFont="1" applyFill="1" applyBorder="1" applyAlignment="1">
      <alignment horizontal="justify" vertical="center" wrapText="1"/>
    </xf>
    <xf numFmtId="0" fontId="44" fillId="0" borderId="285" xfId="0" applyFont="1" applyFill="1" applyBorder="1" applyAlignment="1">
      <alignment horizontal="left" vertical="center" wrapText="1"/>
    </xf>
    <xf numFmtId="0" fontId="44" fillId="0" borderId="150" xfId="0" applyFont="1" applyFill="1" applyBorder="1" applyAlignment="1">
      <alignment horizontal="left" vertical="center" wrapText="1"/>
    </xf>
    <xf numFmtId="0" fontId="47" fillId="0" borderId="221" xfId="0" applyFont="1" applyFill="1" applyBorder="1" applyAlignment="1">
      <alignment horizontal="center" vertical="center"/>
    </xf>
    <xf numFmtId="0" fontId="32" fillId="40" borderId="222" xfId="47" applyFont="1" applyFill="1" applyBorder="1" applyAlignment="1">
      <alignment horizontal="center" vertical="center" wrapText="1"/>
    </xf>
    <xf numFmtId="0" fontId="32" fillId="40" borderId="39" xfId="47" applyFont="1" applyFill="1" applyBorder="1" applyAlignment="1">
      <alignment horizontal="center" vertical="center" wrapText="1"/>
    </xf>
    <xf numFmtId="0" fontId="35" fillId="40" borderId="54" xfId="47" applyFont="1" applyFill="1" applyBorder="1" applyAlignment="1">
      <alignment horizontal="center" vertical="center" wrapText="1"/>
    </xf>
    <xf numFmtId="0" fontId="35" fillId="40" borderId="83" xfId="47" applyFont="1" applyFill="1" applyBorder="1" applyAlignment="1">
      <alignment horizontal="center" vertical="center" wrapText="1"/>
    </xf>
    <xf numFmtId="0" fontId="35" fillId="40" borderId="87" xfId="47" applyFont="1" applyFill="1" applyBorder="1" applyAlignment="1">
      <alignment horizontal="center" vertical="center" wrapText="1"/>
    </xf>
    <xf numFmtId="0" fontId="39" fillId="40" borderId="223" xfId="47" applyFont="1" applyFill="1" applyBorder="1" applyAlignment="1">
      <alignment horizontal="center" vertical="center" wrapText="1"/>
    </xf>
    <xf numFmtId="0" fontId="35" fillId="40" borderId="147" xfId="47" applyFont="1" applyFill="1" applyBorder="1" applyAlignment="1">
      <alignment horizontal="center" vertical="center" wrapText="1"/>
    </xf>
    <xf numFmtId="0" fontId="35" fillId="40" borderId="89" xfId="47" applyFont="1" applyFill="1" applyBorder="1" applyAlignment="1">
      <alignment horizontal="center" vertical="center" wrapText="1"/>
    </xf>
    <xf numFmtId="0" fontId="35" fillId="40" borderId="210" xfId="47" applyFont="1" applyFill="1" applyBorder="1" applyAlignment="1">
      <alignment horizontal="center" vertical="center" wrapText="1"/>
    </xf>
    <xf numFmtId="0" fontId="35" fillId="40" borderId="217" xfId="47" applyFont="1" applyFill="1" applyBorder="1" applyAlignment="1">
      <alignment horizontal="center" vertical="center" wrapText="1"/>
    </xf>
    <xf numFmtId="0" fontId="28" fillId="60" borderId="156" xfId="47" applyFont="1" applyFill="1" applyBorder="1" applyAlignment="1">
      <alignment horizontal="right" vertical="center"/>
    </xf>
    <xf numFmtId="0" fontId="28" fillId="60" borderId="201" xfId="47" applyFont="1" applyFill="1" applyBorder="1" applyAlignment="1">
      <alignment horizontal="right" vertical="center"/>
    </xf>
    <xf numFmtId="0" fontId="28" fillId="60" borderId="202" xfId="47" applyFont="1" applyFill="1" applyBorder="1" applyAlignment="1">
      <alignment horizontal="right" vertical="center"/>
    </xf>
    <xf numFmtId="0" fontId="28" fillId="63" borderId="156" xfId="0" applyFont="1" applyFill="1" applyBorder="1" applyAlignment="1">
      <alignment horizontal="right"/>
    </xf>
    <xf numFmtId="0" fontId="28" fillId="63" borderId="201" xfId="0" applyFont="1" applyFill="1" applyBorder="1" applyAlignment="1">
      <alignment horizontal="right"/>
    </xf>
    <xf numFmtId="0" fontId="28" fillId="63" borderId="202" xfId="0" applyFont="1" applyFill="1" applyBorder="1" applyAlignment="1">
      <alignment horizontal="right"/>
    </xf>
    <xf numFmtId="174" fontId="28" fillId="25" borderId="156" xfId="47" applyNumberFormat="1" applyFont="1" applyFill="1" applyBorder="1" applyAlignment="1">
      <alignment horizontal="center" vertical="center"/>
    </xf>
    <xf numFmtId="174" fontId="28" fillId="25" borderId="202" xfId="47" applyNumberFormat="1" applyFont="1" applyFill="1" applyBorder="1" applyAlignment="1">
      <alignment horizontal="center" vertical="center"/>
    </xf>
    <xf numFmtId="0" fontId="34" fillId="40" borderId="220" xfId="33" applyFont="1" applyFill="1" applyBorder="1" applyAlignment="1">
      <alignment horizontal="center" vertical="center" wrapText="1"/>
    </xf>
    <xf numFmtId="0" fontId="34" fillId="40" borderId="221" xfId="33" applyFont="1" applyFill="1" applyBorder="1" applyAlignment="1">
      <alignment horizontal="center" vertical="center" wrapText="1"/>
    </xf>
    <xf numFmtId="0" fontId="34" fillId="40" borderId="180" xfId="33" applyFont="1" applyFill="1" applyBorder="1" applyAlignment="1">
      <alignment horizontal="center" vertical="center" wrapText="1"/>
    </xf>
    <xf numFmtId="0" fontId="32" fillId="40" borderId="182"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8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29" fillId="24" borderId="156" xfId="47" applyFont="1" applyFill="1" applyBorder="1" applyAlignment="1">
      <alignment horizontal="center" vertical="center"/>
    </xf>
    <xf numFmtId="0" fontId="29" fillId="24" borderId="201" xfId="47" applyFont="1" applyFill="1" applyBorder="1" applyAlignment="1">
      <alignment horizontal="center" vertical="center"/>
    </xf>
    <xf numFmtId="0" fontId="29" fillId="24" borderId="202" xfId="47" applyFont="1" applyFill="1" applyBorder="1" applyAlignment="1">
      <alignment horizontal="center" vertical="center"/>
    </xf>
    <xf numFmtId="0" fontId="29" fillId="0" borderId="156" xfId="0" applyFont="1" applyFill="1" applyBorder="1" applyAlignment="1">
      <alignment horizontal="center" vertical="center"/>
    </xf>
    <xf numFmtId="0" fontId="29" fillId="0" borderId="201" xfId="0" applyFont="1" applyFill="1" applyBorder="1" applyAlignment="1">
      <alignment horizontal="center" vertical="center"/>
    </xf>
    <xf numFmtId="0" fontId="29" fillId="0" borderId="202" xfId="0" applyFont="1" applyFill="1" applyBorder="1" applyAlignment="1">
      <alignment horizontal="center" vertical="center"/>
    </xf>
    <xf numFmtId="174" fontId="28" fillId="25" borderId="156" xfId="48" applyNumberFormat="1" applyFont="1" applyFill="1" applyBorder="1" applyAlignment="1">
      <alignment horizontal="center" vertical="center"/>
    </xf>
    <xf numFmtId="174" fontId="28" fillId="25" borderId="202" xfId="48" applyNumberFormat="1" applyFont="1" applyFill="1" applyBorder="1" applyAlignment="1">
      <alignment horizontal="center" vertical="center"/>
    </xf>
    <xf numFmtId="0" fontId="35" fillId="40" borderId="88"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0" fontId="35" fillId="40" borderId="92" xfId="47" applyFont="1" applyFill="1" applyBorder="1" applyAlignment="1">
      <alignment horizontal="center" vertical="center" wrapText="1"/>
    </xf>
    <xf numFmtId="0" fontId="35" fillId="40" borderId="146" xfId="47" applyFont="1" applyFill="1" applyBorder="1" applyAlignment="1">
      <alignment horizontal="center" vertical="center" wrapText="1"/>
    </xf>
    <xf numFmtId="0" fontId="35" fillId="40" borderId="145" xfId="47" applyFont="1" applyFill="1" applyBorder="1" applyAlignment="1">
      <alignment horizontal="center" vertical="center" wrapText="1"/>
    </xf>
    <xf numFmtId="0" fontId="35" fillId="40" borderId="86" xfId="47" applyFont="1" applyFill="1" applyBorder="1" applyAlignment="1">
      <alignment horizontal="center" vertical="center" wrapText="1"/>
    </xf>
    <xf numFmtId="0" fontId="32" fillId="40" borderId="84" xfId="47" applyFont="1" applyFill="1" applyBorder="1" applyAlignment="1">
      <alignment horizontal="center" vertical="center" wrapText="1"/>
    </xf>
    <xf numFmtId="174" fontId="35" fillId="40" borderId="85"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4" xfId="47" applyFont="1" applyFill="1" applyBorder="1" applyAlignment="1">
      <alignment horizontal="center" vertical="center" wrapText="1"/>
    </xf>
    <xf numFmtId="0" fontId="35" fillId="40" borderId="150" xfId="47" applyFont="1" applyFill="1" applyBorder="1" applyAlignment="1">
      <alignment horizontal="center" vertical="center" wrapText="1"/>
    </xf>
    <xf numFmtId="0" fontId="28" fillId="25" borderId="156" xfId="47" applyFont="1" applyFill="1" applyBorder="1" applyAlignment="1">
      <alignment horizontal="left" vertical="center"/>
    </xf>
    <xf numFmtId="0" fontId="28" fillId="25" borderId="201" xfId="47" applyFont="1" applyFill="1" applyBorder="1" applyAlignment="1">
      <alignment horizontal="left" vertical="center"/>
    </xf>
    <xf numFmtId="0" fontId="29" fillId="24" borderId="142" xfId="47" applyFont="1" applyFill="1" applyBorder="1" applyAlignment="1">
      <alignment horizontal="center" vertical="center"/>
    </xf>
    <xf numFmtId="0" fontId="29" fillId="24" borderId="143" xfId="47" applyFont="1" applyFill="1" applyBorder="1" applyAlignment="1">
      <alignment horizontal="center" vertical="center"/>
    </xf>
    <xf numFmtId="0" fontId="34" fillId="40" borderId="77" xfId="33" applyFont="1" applyFill="1" applyBorder="1" applyAlignment="1">
      <alignment horizontal="center" vertical="center" wrapText="1"/>
    </xf>
    <xf numFmtId="0" fontId="34" fillId="40" borderId="78" xfId="33" applyFont="1" applyFill="1" applyBorder="1" applyAlignment="1">
      <alignment horizontal="center" vertical="center" wrapText="1"/>
    </xf>
    <xf numFmtId="0" fontId="34" fillId="40" borderId="140" xfId="33" applyFont="1" applyFill="1" applyBorder="1" applyAlignment="1">
      <alignment horizontal="center" vertical="center" wrapText="1"/>
    </xf>
    <xf numFmtId="0" fontId="34" fillId="40" borderId="79" xfId="33" applyFont="1" applyFill="1" applyBorder="1" applyAlignment="1">
      <alignment horizontal="center" vertical="center" wrapText="1"/>
    </xf>
    <xf numFmtId="0" fontId="32" fillId="40" borderId="76" xfId="33" applyFont="1" applyFill="1" applyBorder="1" applyAlignment="1">
      <alignment horizontal="center" vertical="center"/>
    </xf>
    <xf numFmtId="0" fontId="28" fillId="24" borderId="99" xfId="33" applyFont="1" applyFill="1" applyBorder="1" applyAlignment="1">
      <alignment horizontal="center" vertical="center" wrapText="1"/>
    </xf>
    <xf numFmtId="0" fontId="32" fillId="53" borderId="84" xfId="47" applyFont="1" applyFill="1" applyBorder="1" applyAlignment="1">
      <alignment horizontal="center" vertical="center" wrapText="1"/>
    </xf>
    <xf numFmtId="0" fontId="32" fillId="53" borderId="160" xfId="47" applyFont="1" applyFill="1" applyBorder="1" applyAlignment="1">
      <alignment horizontal="center" vertical="center" wrapText="1"/>
    </xf>
    <xf numFmtId="0" fontId="35" fillId="40" borderId="164"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39" fillId="40" borderId="97" xfId="47" applyFont="1" applyFill="1" applyBorder="1" applyAlignment="1">
      <alignment horizontal="center" vertical="center" wrapText="1"/>
    </xf>
    <xf numFmtId="0" fontId="28" fillId="25" borderId="142" xfId="47" applyFont="1" applyFill="1" applyBorder="1" applyAlignment="1">
      <alignment horizontal="left" vertical="center"/>
    </xf>
    <xf numFmtId="0" fontId="28" fillId="25" borderId="143" xfId="47" applyFont="1" applyFill="1" applyBorder="1" applyAlignment="1">
      <alignment horizontal="left" vertical="center"/>
    </xf>
    <xf numFmtId="0" fontId="32" fillId="40" borderId="160" xfId="47" applyFont="1" applyFill="1" applyBorder="1" applyAlignment="1">
      <alignment horizontal="center" vertical="center" wrapText="1"/>
    </xf>
    <xf numFmtId="0" fontId="28" fillId="25" borderId="67" xfId="47" applyFont="1" applyFill="1" applyBorder="1" applyAlignment="1">
      <alignment horizontal="left" vertical="center"/>
    </xf>
    <xf numFmtId="0" fontId="28" fillId="25" borderId="66" xfId="47" applyFont="1" applyFill="1" applyBorder="1" applyAlignment="1">
      <alignment horizontal="left" vertical="center"/>
    </xf>
    <xf numFmtId="0" fontId="28" fillId="25" borderId="158" xfId="47" applyFont="1" applyFill="1" applyBorder="1" applyAlignment="1">
      <alignment horizontal="left" vertical="center"/>
    </xf>
    <xf numFmtId="0" fontId="29" fillId="24" borderId="206" xfId="47" applyFont="1" applyFill="1" applyBorder="1" applyAlignment="1">
      <alignment horizontal="center" vertical="center"/>
    </xf>
    <xf numFmtId="0" fontId="29" fillId="24" borderId="242" xfId="47" applyFont="1" applyFill="1" applyBorder="1" applyAlignment="1">
      <alignment horizontal="center" vertical="center"/>
    </xf>
    <xf numFmtId="0" fontId="29" fillId="24" borderId="251" xfId="47" applyFont="1" applyFill="1" applyBorder="1" applyAlignment="1">
      <alignment horizontal="center" vertical="center"/>
    </xf>
    <xf numFmtId="0" fontId="35" fillId="40" borderId="131" xfId="47" applyFont="1" applyFill="1" applyBorder="1" applyAlignment="1">
      <alignment horizontal="center" vertical="center" wrapText="1"/>
    </xf>
    <xf numFmtId="0" fontId="28" fillId="25" borderId="216" xfId="47" applyFont="1" applyFill="1" applyBorder="1" applyAlignment="1">
      <alignment horizontal="left" vertical="center"/>
    </xf>
    <xf numFmtId="0" fontId="28" fillId="25" borderId="227" xfId="47" applyFont="1" applyFill="1" applyBorder="1" applyAlignment="1">
      <alignment horizontal="left" vertical="center"/>
    </xf>
    <xf numFmtId="0" fontId="28" fillId="25" borderId="21" xfId="47" applyFont="1" applyFill="1" applyBorder="1" applyAlignment="1">
      <alignment horizontal="left" vertical="center"/>
    </xf>
    <xf numFmtId="0" fontId="28" fillId="0" borderId="156" xfId="47" applyFont="1" applyFill="1" applyBorder="1" applyAlignment="1">
      <alignment horizontal="center" vertical="center"/>
    </xf>
    <xf numFmtId="0" fontId="28" fillId="0" borderId="201" xfId="47" applyFont="1" applyFill="1" applyBorder="1" applyAlignment="1">
      <alignment horizontal="center" vertical="center"/>
    </xf>
    <xf numFmtId="0" fontId="28" fillId="0" borderId="202" xfId="47" applyFont="1" applyFill="1" applyBorder="1" applyAlignment="1">
      <alignment horizontal="center" vertical="center"/>
    </xf>
    <xf numFmtId="0" fontId="29" fillId="0" borderId="132" xfId="46" applyNumberFormat="1" applyFont="1" applyFill="1" applyBorder="1" applyAlignment="1">
      <alignment horizontal="center" vertical="center"/>
    </xf>
    <xf numFmtId="0" fontId="29" fillId="0" borderId="170" xfId="46" applyNumberFormat="1" applyFont="1" applyFill="1" applyBorder="1" applyAlignment="1">
      <alignment horizontal="center" vertical="center"/>
    </xf>
    <xf numFmtId="0" fontId="29" fillId="0" borderId="133" xfId="33" applyFont="1" applyFill="1" applyBorder="1" applyAlignment="1">
      <alignment horizontal="center" vertical="center"/>
    </xf>
    <xf numFmtId="0" fontId="29" fillId="0" borderId="68" xfId="33" applyFont="1" applyFill="1" applyBorder="1" applyAlignment="1">
      <alignment horizontal="center" vertical="center"/>
    </xf>
    <xf numFmtId="0" fontId="29" fillId="0" borderId="153" xfId="46" applyNumberFormat="1" applyFont="1" applyFill="1" applyBorder="1" applyAlignment="1">
      <alignment horizontal="center" vertical="center"/>
    </xf>
    <xf numFmtId="0" fontId="29" fillId="0" borderId="171" xfId="46" applyNumberFormat="1" applyFont="1" applyFill="1" applyBorder="1" applyAlignment="1">
      <alignment horizontal="center" vertical="center"/>
    </xf>
    <xf numFmtId="0" fontId="29" fillId="0" borderId="152" xfId="33" applyFont="1" applyFill="1" applyBorder="1" applyAlignment="1">
      <alignment horizontal="center" vertical="center"/>
    </xf>
    <xf numFmtId="0" fontId="29" fillId="0" borderId="171" xfId="33"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2" xfId="46" applyNumberFormat="1" applyFont="1" applyFill="1" applyBorder="1" applyAlignment="1">
      <alignment horizontal="center" vertical="center"/>
    </xf>
    <xf numFmtId="0" fontId="29" fillId="0" borderId="146" xfId="46" applyNumberFormat="1" applyFont="1" applyFill="1" applyBorder="1" applyAlignment="1">
      <alignment horizontal="center" vertical="center"/>
    </xf>
    <xf numFmtId="0" fontId="29" fillId="0" borderId="147" xfId="33" applyFont="1" applyFill="1" applyBorder="1" applyAlignment="1">
      <alignment horizontal="center" vertical="center"/>
    </xf>
    <xf numFmtId="0" fontId="29" fillId="0" borderId="89" xfId="33" applyFont="1" applyFill="1" applyBorder="1" applyAlignment="1">
      <alignment horizontal="center" vertical="center"/>
    </xf>
    <xf numFmtId="0" fontId="28" fillId="0" borderId="156" xfId="33" applyFont="1" applyFill="1" applyBorder="1" applyAlignment="1">
      <alignment horizontal="center" vertical="center"/>
    </xf>
    <xf numFmtId="0" fontId="28" fillId="0" borderId="142" xfId="33" applyFont="1" applyFill="1" applyBorder="1" applyAlignment="1">
      <alignment horizontal="center" vertical="center"/>
    </xf>
    <xf numFmtId="0" fontId="28" fillId="0" borderId="143" xfId="33" applyFont="1" applyFill="1" applyBorder="1" applyAlignment="1">
      <alignment horizontal="center" vertical="center"/>
    </xf>
    <xf numFmtId="0" fontId="28" fillId="57" borderId="156" xfId="47" applyFont="1" applyFill="1" applyBorder="1" applyAlignment="1">
      <alignment horizontal="right" vertical="center"/>
    </xf>
    <xf numFmtId="0" fontId="28" fillId="57" borderId="201" xfId="47" applyFont="1" applyFill="1" applyBorder="1" applyAlignment="1">
      <alignment horizontal="right" vertical="center"/>
    </xf>
    <xf numFmtId="174" fontId="28" fillId="57" borderId="156" xfId="47" applyNumberFormat="1" applyFont="1" applyFill="1" applyBorder="1" applyAlignment="1">
      <alignment horizontal="center" vertical="center"/>
    </xf>
    <xf numFmtId="174" fontId="28" fillId="57" borderId="202" xfId="47" applyNumberFormat="1" applyFont="1" applyFill="1" applyBorder="1" applyAlignment="1">
      <alignment horizontal="center" vertical="center"/>
    </xf>
    <xf numFmtId="174" fontId="28" fillId="57" borderId="201" xfId="47" applyNumberFormat="1" applyFont="1" applyFill="1" applyBorder="1" applyAlignment="1">
      <alignment horizontal="center" vertical="center"/>
    </xf>
    <xf numFmtId="0" fontId="35" fillId="40" borderId="163" xfId="47" applyFont="1" applyFill="1" applyBorder="1" applyAlignment="1">
      <alignment horizontal="center" vertical="center" wrapText="1"/>
    </xf>
    <xf numFmtId="0" fontId="35" fillId="40" borderId="175" xfId="47" applyFont="1" applyFill="1" applyBorder="1" applyAlignment="1">
      <alignment horizontal="center" vertical="center" wrapText="1"/>
    </xf>
    <xf numFmtId="0" fontId="35" fillId="40" borderId="168" xfId="47" applyFont="1" applyFill="1" applyBorder="1" applyAlignment="1">
      <alignment horizontal="center" vertical="center" wrapText="1"/>
    </xf>
    <xf numFmtId="0" fontId="35" fillId="40" borderId="176" xfId="47" applyFont="1" applyFill="1" applyBorder="1" applyAlignment="1">
      <alignment horizontal="center" vertical="center" wrapText="1"/>
    </xf>
    <xf numFmtId="0" fontId="35" fillId="40" borderId="139" xfId="47" applyFont="1" applyFill="1" applyBorder="1" applyAlignment="1">
      <alignment horizontal="center" vertical="center" wrapText="1"/>
    </xf>
    <xf numFmtId="0" fontId="35" fillId="40" borderId="141" xfId="47" applyFont="1" applyFill="1" applyBorder="1" applyAlignment="1">
      <alignment horizontal="center" vertical="center" wrapText="1"/>
    </xf>
    <xf numFmtId="0" fontId="35" fillId="40" borderId="67"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35" fillId="40" borderId="158" xfId="47" applyFont="1" applyFill="1" applyBorder="1" applyAlignment="1">
      <alignment horizontal="center" vertical="center" wrapText="1"/>
    </xf>
    <xf numFmtId="0" fontId="29" fillId="0" borderId="53" xfId="49" applyFont="1" applyBorder="1" applyAlignment="1" applyProtection="1">
      <alignment horizontal="left" vertical="center"/>
    </xf>
    <xf numFmtId="0" fontId="29" fillId="0" borderId="0" xfId="49" applyFont="1" applyBorder="1" applyAlignment="1" applyProtection="1">
      <alignment horizontal="lef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49"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8" fillId="33" borderId="31" xfId="49" applyFont="1" applyFill="1" applyBorder="1" applyAlignment="1" applyProtection="1">
      <alignment horizontal="left" vertical="center"/>
    </xf>
    <xf numFmtId="0" fontId="28" fillId="32" borderId="45"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5" borderId="45"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8" fillId="0" borderId="53"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27" borderId="43"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4" xfId="49" applyFont="1" applyFill="1" applyBorder="1" applyAlignment="1" applyProtection="1">
      <alignment horizontal="center"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29" xfId="49" applyFont="1" applyFill="1" applyBorder="1" applyAlignment="1" applyProtection="1">
      <alignment horizontal="left" vertical="center"/>
    </xf>
    <xf numFmtId="0" fontId="53" fillId="32" borderId="43" xfId="49" applyFont="1" applyFill="1" applyBorder="1" applyAlignment="1" applyProtection="1">
      <alignment horizontal="right" vertical="center"/>
    </xf>
    <xf numFmtId="0" fontId="53" fillId="32" borderId="15" xfId="49" applyFont="1" applyFill="1" applyBorder="1" applyAlignment="1" applyProtection="1">
      <alignment horizontal="right" vertical="center"/>
    </xf>
    <xf numFmtId="0" fontId="28" fillId="31" borderId="45"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8" fillId="32" borderId="43"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32" borderId="45"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9" fillId="0" borderId="105" xfId="49" applyFont="1" applyBorder="1" applyAlignment="1" applyProtection="1">
      <alignment horizontal="left" vertical="center"/>
    </xf>
    <xf numFmtId="0" fontId="29" fillId="0" borderId="152" xfId="49" applyFont="1" applyBorder="1" applyAlignment="1" applyProtection="1">
      <alignment horizontal="left" vertical="center"/>
    </xf>
    <xf numFmtId="0" fontId="29" fillId="0" borderId="169" xfId="49" applyFont="1" applyBorder="1" applyAlignment="1" applyProtection="1">
      <alignment horizontal="left" vertical="center"/>
    </xf>
    <xf numFmtId="0" fontId="29" fillId="0" borderId="87" xfId="49" applyFont="1" applyBorder="1" applyAlignment="1" applyProtection="1">
      <alignment horizontal="left" vertical="center"/>
    </xf>
    <xf numFmtId="0" fontId="29" fillId="0" borderId="147" xfId="49" applyFont="1" applyBorder="1" applyAlignment="1" applyProtection="1">
      <alignment horizontal="left" vertical="center"/>
    </xf>
    <xf numFmtId="0" fontId="28" fillId="32" borderId="43" xfId="49" applyFont="1" applyFill="1" applyBorder="1" applyAlignment="1" applyProtection="1">
      <alignment horizontal="right" vertical="center"/>
    </xf>
    <xf numFmtId="0" fontId="53" fillId="31" borderId="45" xfId="49" applyFont="1" applyFill="1" applyBorder="1" applyAlignment="1" applyProtection="1">
      <alignment horizontal="left" vertical="center"/>
    </xf>
    <xf numFmtId="0" fontId="53" fillId="31" borderId="17" xfId="49" applyFont="1" applyFill="1" applyBorder="1" applyAlignment="1" applyProtection="1">
      <alignment horizontal="left" vertical="center"/>
    </xf>
    <xf numFmtId="0" fontId="53" fillId="31" borderId="18" xfId="49" applyFont="1" applyFill="1" applyBorder="1" applyAlignment="1" applyProtection="1">
      <alignment horizontal="left" vertic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0" fontId="28" fillId="31" borderId="45"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29" fillId="0" borderId="53"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29" fillId="0" borderId="53" xfId="49" applyFont="1" applyBorder="1" applyAlignment="1" applyProtection="1">
      <alignment vertical="center"/>
    </xf>
    <xf numFmtId="0" fontId="29" fillId="0" borderId="0" xfId="49" applyFont="1" applyBorder="1" applyAlignment="1" applyProtection="1">
      <alignmen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3" xfId="0" applyFont="1" applyBorder="1" applyAlignment="1" applyProtection="1">
      <alignment vertical="center"/>
    </xf>
    <xf numFmtId="0" fontId="29" fillId="0" borderId="0" xfId="0" applyFont="1" applyBorder="1" applyAlignment="1" applyProtection="1">
      <alignment vertical="center"/>
    </xf>
    <xf numFmtId="0" fontId="29" fillId="0" borderId="53"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11"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29" xfId="0" applyFont="1" applyBorder="1" applyAlignment="1" applyProtection="1">
      <alignment horizontal="left" vertical="center"/>
    </xf>
    <xf numFmtId="0" fontId="29" fillId="0" borderId="54" xfId="0" applyFont="1" applyBorder="1" applyAlignment="1" applyProtection="1">
      <alignment horizontal="left" vertical="center"/>
    </xf>
    <xf numFmtId="0" fontId="28" fillId="32" borderId="16" xfId="49" applyFont="1" applyFill="1" applyBorder="1" applyAlignment="1" applyProtection="1">
      <alignment horizontal="right" vertical="center"/>
    </xf>
    <xf numFmtId="0" fontId="29" fillId="0" borderId="26" xfId="0" applyFont="1" applyBorder="1" applyAlignment="1" applyProtection="1">
      <alignment horizontal="left" vertical="center"/>
    </xf>
    <xf numFmtId="0" fontId="28" fillId="0" borderId="45"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9" fillId="0" borderId="45"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53" xfId="49" applyFont="1" applyBorder="1" applyAlignment="1" applyProtection="1">
      <alignment horizontal="center" vertical="center"/>
    </xf>
    <xf numFmtId="0" fontId="28" fillId="0" borderId="35" xfId="49" applyFont="1" applyBorder="1" applyAlignment="1" applyProtection="1">
      <alignment horizontal="center" vertical="center"/>
    </xf>
    <xf numFmtId="0" fontId="29" fillId="0" borderId="45"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1" fontId="28" fillId="0" borderId="53"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168" fontId="28" fillId="29" borderId="53"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3"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28" borderId="53"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50" xfId="49" applyFont="1" applyBorder="1" applyAlignment="1" applyProtection="1">
      <alignment horizontal="left" vertical="center"/>
    </xf>
    <xf numFmtId="0" fontId="28" fillId="0" borderId="51"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0" xfId="49" applyFont="1" applyBorder="1" applyAlignment="1" applyProtection="1">
      <alignment horizontal="center" vertical="center"/>
    </xf>
    <xf numFmtId="0" fontId="28" fillId="0" borderId="52"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38"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7"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1" xfId="49" applyFont="1" applyFill="1" applyBorder="1" applyAlignment="1" applyProtection="1">
      <alignment horizontal="center" vertical="center" wrapText="1"/>
    </xf>
    <xf numFmtId="0" fontId="28" fillId="27" borderId="44" xfId="49" applyFont="1" applyFill="1" applyBorder="1" applyAlignment="1" applyProtection="1">
      <alignment horizontal="center"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49"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0" borderId="45" xfId="49" applyFont="1" applyBorder="1" applyAlignment="1" applyProtection="1">
      <alignment horizontal="center" vertical="center" wrapText="1"/>
    </xf>
    <xf numFmtId="0" fontId="29" fillId="0" borderId="11" xfId="49" applyFont="1" applyBorder="1" applyAlignment="1" applyProtection="1">
      <alignment horizontal="left" vertical="center"/>
    </xf>
    <xf numFmtId="0" fontId="28" fillId="36" borderId="0" xfId="49" applyFont="1" applyFill="1" applyBorder="1" applyAlignment="1" applyProtection="1">
      <alignment horizontal="left" vertical="center"/>
    </xf>
    <xf numFmtId="0" fontId="28" fillId="36" borderId="176" xfId="49" applyFont="1" applyFill="1" applyBorder="1" applyAlignment="1" applyProtection="1">
      <alignment horizontal="left" vertical="center" shrinkToFit="1"/>
    </xf>
    <xf numFmtId="0" fontId="28" fillId="33" borderId="99" xfId="49" applyFont="1" applyFill="1" applyBorder="1" applyAlignment="1" applyProtection="1">
      <alignment horizontal="left" vertical="center"/>
    </xf>
    <xf numFmtId="0" fontId="28" fillId="33" borderId="99" xfId="49" applyFont="1" applyFill="1" applyBorder="1" applyAlignment="1" applyProtection="1">
      <alignment horizontal="right" vertical="center"/>
    </xf>
    <xf numFmtId="0" fontId="28" fillId="33" borderId="88" xfId="49" applyFont="1" applyFill="1" applyBorder="1" applyAlignment="1" applyProtection="1">
      <alignment horizontal="left" vertical="center"/>
    </xf>
    <xf numFmtId="0" fontId="28" fillId="33" borderId="147" xfId="49" applyFont="1" applyFill="1" applyBorder="1" applyAlignment="1" applyProtection="1">
      <alignment horizontal="left" vertical="center"/>
    </xf>
    <xf numFmtId="0" fontId="28" fillId="33" borderId="149" xfId="49" applyFont="1" applyFill="1" applyBorder="1" applyAlignment="1" applyProtection="1">
      <alignment horizontal="left" vertical="center"/>
    </xf>
    <xf numFmtId="0" fontId="28" fillId="32" borderId="132" xfId="49" applyFont="1" applyFill="1" applyBorder="1" applyAlignment="1" applyProtection="1">
      <alignment horizontal="right" vertical="center"/>
    </xf>
    <xf numFmtId="0" fontId="28" fillId="32" borderId="133" xfId="49" applyFont="1" applyFill="1" applyBorder="1" applyAlignment="1" applyProtection="1">
      <alignment horizontal="right" vertical="center"/>
    </xf>
    <xf numFmtId="0" fontId="28" fillId="32" borderId="134" xfId="49" applyFont="1" applyFill="1" applyBorder="1" applyAlignment="1" applyProtection="1">
      <alignment horizontal="right" vertical="center"/>
    </xf>
    <xf numFmtId="0" fontId="28" fillId="35" borderId="132" xfId="49" applyFont="1" applyFill="1" applyBorder="1" applyAlignment="1" applyProtection="1">
      <alignment horizontal="center" vertical="center"/>
    </xf>
    <xf numFmtId="0" fontId="28" fillId="35" borderId="133" xfId="49" applyFont="1" applyFill="1" applyBorder="1" applyAlignment="1" applyProtection="1">
      <alignment horizontal="center" vertical="center"/>
    </xf>
    <xf numFmtId="0" fontId="28" fillId="35" borderId="170" xfId="49" applyFont="1" applyFill="1" applyBorder="1" applyAlignment="1" applyProtection="1">
      <alignment horizontal="center" vertical="center"/>
    </xf>
    <xf numFmtId="0" fontId="28" fillId="0" borderId="87" xfId="49" applyFont="1" applyBorder="1" applyAlignment="1" applyProtection="1">
      <alignment horizontal="right" vertical="center"/>
    </xf>
    <xf numFmtId="0" fontId="28" fillId="0" borderId="147" xfId="49" applyFont="1" applyBorder="1" applyAlignment="1" applyProtection="1">
      <alignment horizontal="right" vertical="center"/>
    </xf>
    <xf numFmtId="0" fontId="28" fillId="27" borderId="159" xfId="49" applyFont="1" applyFill="1" applyBorder="1" applyAlignment="1" applyProtection="1">
      <alignment horizontal="center" vertical="center"/>
    </xf>
    <xf numFmtId="0" fontId="28" fillId="27" borderId="134" xfId="49" applyFont="1" applyFill="1" applyBorder="1" applyAlignment="1" applyProtection="1">
      <alignment horizontal="center" vertical="center"/>
    </xf>
    <xf numFmtId="0" fontId="28" fillId="27" borderId="162" xfId="49" applyFont="1" applyFill="1" applyBorder="1" applyAlignment="1" applyProtection="1">
      <alignment horizontal="center" vertical="center"/>
    </xf>
    <xf numFmtId="0" fontId="28" fillId="27" borderId="161" xfId="49" applyFont="1" applyFill="1" applyBorder="1" applyAlignment="1" applyProtection="1">
      <alignment horizontal="center" vertical="center"/>
    </xf>
    <xf numFmtId="0" fontId="28" fillId="33" borderId="153" xfId="49" applyFont="1" applyFill="1" applyBorder="1" applyAlignment="1" applyProtection="1">
      <alignment horizontal="left" vertical="center"/>
    </xf>
    <xf numFmtId="0" fontId="28" fillId="33" borderId="152" xfId="49" applyFont="1" applyFill="1" applyBorder="1" applyAlignment="1" applyProtection="1">
      <alignment horizontal="left" vertical="center"/>
    </xf>
    <xf numFmtId="0" fontId="28" fillId="33" borderId="151" xfId="49" applyFont="1" applyFill="1" applyBorder="1" applyAlignment="1" applyProtection="1">
      <alignment horizontal="left" vertical="center"/>
    </xf>
    <xf numFmtId="0" fontId="28" fillId="32" borderId="132" xfId="0" applyFont="1" applyFill="1" applyBorder="1" applyAlignment="1" applyProtection="1">
      <alignment horizontal="right" vertical="center"/>
    </xf>
    <xf numFmtId="0" fontId="28" fillId="32" borderId="133" xfId="0" applyFont="1" applyFill="1" applyBorder="1" applyAlignment="1" applyProtection="1">
      <alignment horizontal="right" vertical="center"/>
    </xf>
    <xf numFmtId="0" fontId="28" fillId="32" borderId="134" xfId="0" applyFont="1" applyFill="1" applyBorder="1" applyAlignment="1" applyProtection="1">
      <alignment horizontal="right" vertical="center"/>
    </xf>
    <xf numFmtId="0" fontId="29" fillId="0" borderId="105" xfId="49" applyFont="1" applyFill="1" applyBorder="1" applyAlignment="1" applyProtection="1">
      <alignment horizontal="left" vertical="center"/>
    </xf>
    <xf numFmtId="0" fontId="29" fillId="0" borderId="152" xfId="49" applyFont="1" applyFill="1" applyBorder="1" applyAlignment="1" applyProtection="1">
      <alignment horizontal="left" vertical="center"/>
    </xf>
    <xf numFmtId="0" fontId="29" fillId="0" borderId="169"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9" fillId="0" borderId="87" xfId="49" applyFont="1" applyFill="1" applyBorder="1" applyAlignment="1" applyProtection="1">
      <alignment horizontal="left" vertical="center"/>
    </xf>
    <xf numFmtId="0" fontId="29" fillId="0" borderId="147" xfId="49" applyFont="1" applyFill="1" applyBorder="1" applyAlignment="1" applyProtection="1">
      <alignment horizontal="left" vertical="center"/>
    </xf>
    <xf numFmtId="0" fontId="28" fillId="31" borderId="132" xfId="0" applyFont="1" applyFill="1" applyBorder="1" applyAlignment="1" applyProtection="1">
      <alignment horizontal="left" vertical="center"/>
    </xf>
    <xf numFmtId="0" fontId="28" fillId="31" borderId="133" xfId="0" applyFont="1" applyFill="1" applyBorder="1" applyAlignment="1" applyProtection="1">
      <alignment horizontal="left" vertical="center"/>
    </xf>
    <xf numFmtId="0" fontId="28" fillId="31" borderId="170" xfId="0" applyFont="1" applyFill="1" applyBorder="1" applyAlignment="1" applyProtection="1">
      <alignment horizontal="left" vertical="center"/>
    </xf>
    <xf numFmtId="0" fontId="29" fillId="0" borderId="105" xfId="0" applyFont="1" applyBorder="1" applyAlignment="1" applyProtection="1">
      <alignment horizontal="left" vertical="center"/>
    </xf>
    <xf numFmtId="0" fontId="29" fillId="0" borderId="152" xfId="0" applyFont="1" applyBorder="1" applyAlignment="1" applyProtection="1">
      <alignment horizontal="left" vertical="center"/>
    </xf>
    <xf numFmtId="0" fontId="28" fillId="32" borderId="159" xfId="0" applyFont="1" applyFill="1" applyBorder="1" applyAlignment="1" applyProtection="1">
      <alignment horizontal="right" vertical="center"/>
    </xf>
    <xf numFmtId="0" fontId="28" fillId="32" borderId="159" xfId="49" applyFont="1" applyFill="1" applyBorder="1" applyAlignment="1" applyProtection="1">
      <alignment horizontal="right" vertical="center"/>
    </xf>
    <xf numFmtId="0" fontId="53" fillId="31" borderId="132" xfId="49" applyFont="1" applyFill="1" applyBorder="1" applyAlignment="1" applyProtection="1">
      <alignment horizontal="left" vertical="center"/>
    </xf>
    <xf numFmtId="0" fontId="53" fillId="31" borderId="133" xfId="49" applyFont="1" applyFill="1" applyBorder="1" applyAlignment="1" applyProtection="1">
      <alignment horizontal="left" vertical="center"/>
    </xf>
    <xf numFmtId="0" fontId="53" fillId="31" borderId="170" xfId="49" applyFont="1" applyFill="1" applyBorder="1" applyAlignment="1" applyProtection="1">
      <alignment horizontal="left" vertical="center"/>
    </xf>
    <xf numFmtId="0" fontId="41" fillId="0" borderId="105" xfId="49" applyFont="1" applyBorder="1" applyAlignment="1" applyProtection="1">
      <alignment horizontal="left" vertical="center"/>
    </xf>
    <xf numFmtId="0" fontId="41" fillId="0" borderId="152" xfId="49" applyFont="1" applyBorder="1" applyAlignment="1" applyProtection="1">
      <alignment horizontal="left" vertical="center"/>
    </xf>
    <xf numFmtId="0" fontId="53" fillId="32" borderId="159" xfId="49" applyFont="1" applyFill="1" applyBorder="1" applyAlignment="1" applyProtection="1">
      <alignment horizontal="right" vertical="center"/>
    </xf>
    <xf numFmtId="0" fontId="53" fillId="32" borderId="134" xfId="49" applyFont="1" applyFill="1" applyBorder="1" applyAlignment="1" applyProtection="1">
      <alignment horizontal="right" vertical="center"/>
    </xf>
    <xf numFmtId="0" fontId="29" fillId="0" borderId="135" xfId="0" applyFont="1" applyBorder="1" applyAlignment="1" applyProtection="1">
      <alignment horizontal="left" vertical="center"/>
    </xf>
    <xf numFmtId="0" fontId="29" fillId="0" borderId="133" xfId="0" applyFont="1" applyBorder="1" applyAlignment="1" applyProtection="1">
      <alignment horizontal="left" vertical="center"/>
    </xf>
    <xf numFmtId="0" fontId="29" fillId="0" borderId="134" xfId="0" applyFont="1" applyBorder="1" applyAlignment="1" applyProtection="1">
      <alignment horizontal="left" vertical="center"/>
    </xf>
    <xf numFmtId="0" fontId="41" fillId="0" borderId="135" xfId="49" applyFont="1" applyBorder="1" applyAlignment="1" applyProtection="1">
      <alignment horizontal="left" vertical="center"/>
    </xf>
    <xf numFmtId="0" fontId="41" fillId="0" borderId="133" xfId="49" applyFont="1" applyBorder="1" applyAlignment="1" applyProtection="1">
      <alignment horizontal="left" vertical="center"/>
    </xf>
    <xf numFmtId="0" fontId="41" fillId="0" borderId="134" xfId="49" applyFont="1" applyBorder="1" applyAlignment="1" applyProtection="1">
      <alignment horizontal="left" vertical="center"/>
    </xf>
    <xf numFmtId="0" fontId="41" fillId="0" borderId="53" xfId="0" applyFont="1" applyBorder="1" applyAlignment="1" applyProtection="1">
      <alignment horizontal="left" vertical="center"/>
    </xf>
    <xf numFmtId="0" fontId="41" fillId="0" borderId="0" xfId="0" applyFont="1" applyBorder="1" applyAlignment="1" applyProtection="1">
      <alignment horizontal="left" vertical="center"/>
    </xf>
    <xf numFmtId="0" fontId="29" fillId="0" borderId="87" xfId="0" applyFont="1" applyBorder="1" applyAlignment="1" applyProtection="1">
      <alignment horizontal="left" vertical="center"/>
    </xf>
    <xf numFmtId="0" fontId="29" fillId="0" borderId="147" xfId="0" applyFont="1" applyBorder="1" applyAlignment="1" applyProtection="1">
      <alignment horizontal="left" vertical="center"/>
    </xf>
    <xf numFmtId="0" fontId="28" fillId="31" borderId="132" xfId="49" applyFont="1" applyFill="1" applyBorder="1" applyAlignment="1" applyProtection="1">
      <alignment horizontal="left" vertical="center"/>
    </xf>
    <xf numFmtId="0" fontId="28" fillId="31" borderId="133" xfId="49" applyFont="1" applyFill="1" applyBorder="1" applyAlignment="1" applyProtection="1">
      <alignment horizontal="left" vertical="center"/>
    </xf>
    <xf numFmtId="0" fontId="28" fillId="31" borderId="170" xfId="49" applyFont="1" applyFill="1" applyBorder="1" applyAlignment="1" applyProtection="1">
      <alignment horizontal="left" vertical="center"/>
    </xf>
    <xf numFmtId="0" fontId="41" fillId="0" borderId="105" xfId="0" applyFont="1" applyBorder="1" applyAlignment="1" applyProtection="1">
      <alignment horizontal="left" vertical="center"/>
    </xf>
    <xf numFmtId="0" fontId="41" fillId="0" borderId="152" xfId="0" applyFont="1" applyBorder="1" applyAlignment="1" applyProtection="1">
      <alignment horizontal="left" vertical="center"/>
    </xf>
    <xf numFmtId="0" fontId="29" fillId="0" borderId="169" xfId="0" applyFont="1" applyBorder="1" applyAlignment="1" applyProtection="1">
      <alignment vertical="center"/>
    </xf>
    <xf numFmtId="0" fontId="29" fillId="0" borderId="87" xfId="0" applyFont="1" applyBorder="1" applyAlignment="1" applyProtection="1">
      <alignment vertical="center"/>
    </xf>
    <xf numFmtId="0" fontId="29" fillId="0" borderId="147" xfId="0" applyFont="1" applyBorder="1" applyAlignment="1" applyProtection="1">
      <alignment vertical="center"/>
    </xf>
    <xf numFmtId="0" fontId="28" fillId="32" borderId="135" xfId="49" applyFont="1" applyFill="1" applyBorder="1" applyAlignment="1" applyProtection="1">
      <alignment horizontal="right" vertical="center"/>
    </xf>
    <xf numFmtId="0" fontId="29" fillId="0" borderId="105" xfId="49" applyFont="1" applyBorder="1" applyAlignment="1" applyProtection="1">
      <alignment vertical="center"/>
    </xf>
    <xf numFmtId="0" fontId="29" fillId="0" borderId="152" xfId="49" applyFont="1" applyBorder="1" applyAlignment="1" applyProtection="1">
      <alignment vertical="center"/>
    </xf>
    <xf numFmtId="0" fontId="29" fillId="0" borderId="149" xfId="0" applyFont="1" applyBorder="1" applyAlignment="1" applyProtection="1">
      <alignment horizontal="left" vertical="center"/>
    </xf>
    <xf numFmtId="0" fontId="28" fillId="0" borderId="133" xfId="0" applyFont="1" applyBorder="1" applyAlignment="1" applyProtection="1">
      <alignment horizontal="right" vertical="center"/>
      <protection locked="0"/>
    </xf>
    <xf numFmtId="0" fontId="29" fillId="0" borderId="151" xfId="0" applyFont="1" applyBorder="1" applyAlignment="1" applyProtection="1">
      <alignment horizontal="left" vertical="center"/>
    </xf>
    <xf numFmtId="0" fontId="28" fillId="31" borderId="162" xfId="49" applyFont="1" applyFill="1" applyBorder="1" applyAlignment="1" applyProtection="1">
      <alignment horizontal="center" vertical="center"/>
    </xf>
    <xf numFmtId="0" fontId="29" fillId="0" borderId="166" xfId="0" applyFont="1" applyBorder="1" applyAlignment="1" applyProtection="1">
      <alignment horizontal="left" vertical="center"/>
    </xf>
    <xf numFmtId="0" fontId="29" fillId="0" borderId="172" xfId="0" applyFont="1" applyBorder="1" applyAlignment="1" applyProtection="1">
      <alignment horizontal="left" vertical="center"/>
    </xf>
    <xf numFmtId="0" fontId="29" fillId="0" borderId="132" xfId="49" applyFont="1" applyBorder="1" applyAlignment="1" applyProtection="1">
      <alignment horizontal="right" vertical="center" wrapText="1"/>
    </xf>
    <xf numFmtId="0" fontId="29" fillId="0" borderId="133" xfId="49" applyFont="1" applyBorder="1" applyAlignment="1" applyProtection="1">
      <alignment horizontal="right" vertical="center" wrapText="1"/>
    </xf>
    <xf numFmtId="0" fontId="29" fillId="0" borderId="134" xfId="49" applyFont="1" applyBorder="1" applyAlignment="1" applyProtection="1">
      <alignment horizontal="right" vertical="center" wrapText="1"/>
    </xf>
    <xf numFmtId="0" fontId="29" fillId="0" borderId="132" xfId="49" applyFont="1" applyBorder="1" applyAlignment="1" applyProtection="1">
      <alignment horizontal="right" vertical="center"/>
    </xf>
    <xf numFmtId="0" fontId="29" fillId="0" borderId="133" xfId="49" applyFont="1" applyBorder="1" applyAlignment="1" applyProtection="1">
      <alignment horizontal="right" vertical="center"/>
    </xf>
    <xf numFmtId="0" fontId="29" fillId="0" borderId="134" xfId="49" applyFont="1" applyBorder="1" applyAlignment="1" applyProtection="1">
      <alignment horizontal="right" vertical="center"/>
    </xf>
    <xf numFmtId="0" fontId="28" fillId="32" borderId="162" xfId="49" applyFont="1" applyFill="1" applyBorder="1" applyAlignment="1" applyProtection="1">
      <alignment horizontal="right" vertical="center"/>
    </xf>
    <xf numFmtId="168" fontId="28" fillId="0" borderId="105" xfId="31" applyNumberFormat="1" applyFont="1" applyBorder="1" applyAlignment="1" applyProtection="1">
      <alignment horizontal="center" vertical="center"/>
    </xf>
    <xf numFmtId="168" fontId="28" fillId="0" borderId="171" xfId="31" applyNumberFormat="1" applyFont="1" applyBorder="1" applyAlignment="1" applyProtection="1">
      <alignment horizontal="center" vertical="center"/>
    </xf>
    <xf numFmtId="0" fontId="28" fillId="0" borderId="87" xfId="49" applyFont="1" applyBorder="1" applyAlignment="1" applyProtection="1">
      <alignment horizontal="center" vertical="center" wrapText="1"/>
    </xf>
    <xf numFmtId="0" fontId="28" fillId="0" borderId="89" xfId="49" applyFont="1" applyBorder="1" applyAlignment="1" applyProtection="1">
      <alignment horizontal="center" vertical="center" wrapText="1"/>
    </xf>
    <xf numFmtId="0" fontId="28" fillId="0" borderId="132" xfId="49" applyFont="1" applyBorder="1" applyAlignment="1" applyProtection="1">
      <alignment horizontal="center" vertical="center" wrapText="1"/>
    </xf>
    <xf numFmtId="0" fontId="28" fillId="0" borderId="133" xfId="49" applyFont="1" applyBorder="1" applyAlignment="1" applyProtection="1">
      <alignment horizontal="center" vertical="center" wrapText="1"/>
    </xf>
    <xf numFmtId="0" fontId="28" fillId="0" borderId="170" xfId="49" applyFont="1" applyBorder="1" applyAlignment="1" applyProtection="1">
      <alignment horizontal="center" vertical="center" wrapText="1"/>
    </xf>
    <xf numFmtId="0" fontId="28" fillId="28" borderId="53"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53"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53"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0" borderId="92" xfId="49" applyFont="1" applyBorder="1" applyAlignment="1" applyProtection="1">
      <alignment horizontal="left" vertical="center"/>
    </xf>
    <xf numFmtId="0" fontId="28" fillId="0" borderId="145" xfId="49" applyFont="1" applyBorder="1" applyAlignment="1" applyProtection="1">
      <alignment horizontal="left" vertical="center"/>
    </xf>
    <xf numFmtId="0" fontId="28" fillId="0" borderId="92" xfId="49" applyFont="1" applyBorder="1" applyAlignment="1" applyProtection="1">
      <alignment horizontal="center" vertical="center"/>
    </xf>
    <xf numFmtId="0" fontId="28" fillId="0" borderId="146" xfId="49" applyFont="1" applyBorder="1" applyAlignment="1" applyProtection="1">
      <alignment horizontal="center" vertical="center"/>
    </xf>
    <xf numFmtId="0" fontId="28" fillId="27" borderId="159" xfId="49" applyFont="1" applyFill="1" applyBorder="1" applyAlignment="1" applyProtection="1">
      <alignment horizontal="center" vertical="center" wrapText="1"/>
    </xf>
    <xf numFmtId="0" fontId="28" fillId="27" borderId="134" xfId="49" applyFont="1" applyFill="1" applyBorder="1" applyAlignment="1" applyProtection="1">
      <alignment horizontal="center" vertical="center" wrapText="1"/>
    </xf>
    <xf numFmtId="0" fontId="28" fillId="27" borderId="162" xfId="49" applyFont="1" applyFill="1" applyBorder="1" applyAlignment="1" applyProtection="1">
      <alignment horizontal="center" vertical="center" wrapText="1"/>
    </xf>
    <xf numFmtId="0" fontId="28" fillId="27" borderId="161" xfId="49" applyFont="1" applyFill="1" applyBorder="1" applyAlignment="1" applyProtection="1">
      <alignment horizontal="center" vertical="center" wrapText="1"/>
    </xf>
    <xf numFmtId="0" fontId="28" fillId="0" borderId="133" xfId="49" applyFont="1" applyBorder="1" applyAlignment="1" applyProtection="1">
      <alignment horizontal="center" vertical="center"/>
    </xf>
    <xf numFmtId="0" fontId="28" fillId="0" borderId="170" xfId="49" applyFont="1" applyBorder="1" applyAlignment="1" applyProtection="1">
      <alignment horizontal="center" vertical="center"/>
    </xf>
    <xf numFmtId="0" fontId="28" fillId="0" borderId="135" xfId="49" applyFont="1" applyBorder="1" applyAlignment="1" applyProtection="1">
      <alignment horizontal="center" vertical="center" wrapText="1"/>
    </xf>
    <xf numFmtId="0" fontId="28" fillId="0" borderId="153" xfId="49" applyFont="1" applyBorder="1" applyAlignment="1" applyProtection="1">
      <alignment horizontal="justify" vertical="center" wrapText="1"/>
    </xf>
    <xf numFmtId="0" fontId="28" fillId="0" borderId="152" xfId="49" applyFont="1" applyBorder="1" applyAlignment="1" applyProtection="1">
      <alignment horizontal="justify" vertical="center" wrapText="1"/>
    </xf>
    <xf numFmtId="0" fontId="28" fillId="0" borderId="171" xfId="49" applyFont="1" applyBorder="1" applyAlignment="1" applyProtection="1">
      <alignment horizontal="justify" vertical="center" wrapText="1"/>
    </xf>
    <xf numFmtId="0" fontId="28" fillId="0" borderId="88" xfId="49" applyFont="1" applyBorder="1" applyAlignment="1" applyProtection="1">
      <alignment horizontal="justify" vertical="center" wrapText="1"/>
    </xf>
    <xf numFmtId="0" fontId="28" fillId="0" borderId="147" xfId="49" applyFont="1" applyBorder="1" applyAlignment="1" applyProtection="1">
      <alignment horizontal="justify" vertical="center" wrapText="1"/>
    </xf>
    <xf numFmtId="0" fontId="28" fillId="0" borderId="89" xfId="49" applyFont="1" applyBorder="1" applyAlignment="1" applyProtection="1">
      <alignment horizontal="justify" vertical="center" wrapText="1"/>
    </xf>
    <xf numFmtId="0" fontId="32" fillId="43" borderId="224" xfId="0" applyFont="1" applyFill="1" applyBorder="1" applyAlignment="1">
      <alignment horizontal="right" vertical="center"/>
    </xf>
    <xf numFmtId="0" fontId="32" fillId="43" borderId="228" xfId="0" applyFont="1" applyFill="1" applyBorder="1" applyAlignment="1">
      <alignment horizontal="right" vertical="center"/>
    </xf>
    <xf numFmtId="0" fontId="32" fillId="43" borderId="232" xfId="0" applyFont="1" applyFill="1" applyBorder="1" applyAlignment="1">
      <alignment horizontal="right" vertical="center"/>
    </xf>
    <xf numFmtId="0" fontId="32" fillId="52" borderId="42" xfId="0" applyFont="1" applyFill="1" applyBorder="1" applyAlignment="1">
      <alignment horizontal="right" vertical="center"/>
    </xf>
    <xf numFmtId="0" fontId="32" fillId="52" borderId="59" xfId="0" applyFont="1" applyFill="1" applyBorder="1" applyAlignment="1">
      <alignment horizontal="right" vertical="center"/>
    </xf>
    <xf numFmtId="0" fontId="32" fillId="64" borderId="42" xfId="0" applyFont="1" applyFill="1" applyBorder="1" applyAlignment="1">
      <alignment horizontal="right" vertical="center"/>
    </xf>
    <xf numFmtId="0" fontId="32" fillId="64" borderId="59" xfId="0" applyFont="1" applyFill="1" applyBorder="1" applyAlignment="1">
      <alignment horizontal="right" vertical="center"/>
    </xf>
    <xf numFmtId="0" fontId="32" fillId="52" borderId="207" xfId="0" applyFont="1" applyFill="1" applyBorder="1" applyAlignment="1">
      <alignment horizontal="right" vertical="center" shrinkToFit="1"/>
    </xf>
    <xf numFmtId="0" fontId="32" fillId="52" borderId="208" xfId="0" applyFont="1" applyFill="1" applyBorder="1" applyAlignment="1">
      <alignment horizontal="right" vertical="center" shrinkToFit="1"/>
    </xf>
    <xf numFmtId="0" fontId="32" fillId="64" borderId="207" xfId="0" applyFont="1" applyFill="1" applyBorder="1" applyAlignment="1">
      <alignment horizontal="right" vertical="center"/>
    </xf>
    <xf numFmtId="0" fontId="32" fillId="64" borderId="208" xfId="0" applyFont="1" applyFill="1" applyBorder="1" applyAlignment="1">
      <alignment horizontal="right" vertical="center"/>
    </xf>
    <xf numFmtId="0" fontId="32" fillId="65" borderId="207" xfId="0" applyFont="1" applyFill="1" applyBorder="1" applyAlignment="1">
      <alignment horizontal="right" vertical="center"/>
    </xf>
    <xf numFmtId="0" fontId="32" fillId="65" borderId="208" xfId="0" applyFont="1" applyFill="1" applyBorder="1" applyAlignment="1">
      <alignment horizontal="right" vertical="center"/>
    </xf>
    <xf numFmtId="0" fontId="32" fillId="65" borderId="42" xfId="0" applyFont="1" applyFill="1" applyBorder="1" applyAlignment="1">
      <alignment horizontal="right" vertical="center"/>
    </xf>
    <xf numFmtId="0" fontId="32" fillId="65" borderId="59" xfId="0" applyFont="1" applyFill="1" applyBorder="1" applyAlignment="1">
      <alignment horizontal="right" vertical="center"/>
    </xf>
    <xf numFmtId="0" fontId="43" fillId="42" borderId="69" xfId="0" applyFont="1" applyFill="1" applyBorder="1" applyAlignment="1" applyProtection="1">
      <alignment horizontal="left" vertical="center" wrapText="1"/>
    </xf>
    <xf numFmtId="0" fontId="43" fillId="42" borderId="176" xfId="0" applyFont="1" applyFill="1" applyBorder="1" applyAlignment="1" applyProtection="1">
      <alignment horizontal="left" vertical="center" wrapText="1"/>
    </xf>
    <xf numFmtId="0" fontId="43" fillId="42" borderId="181" xfId="0" applyFont="1" applyFill="1" applyBorder="1" applyAlignment="1" applyProtection="1">
      <alignment horizontal="left" vertical="center" wrapText="1"/>
    </xf>
    <xf numFmtId="0" fontId="32" fillId="0" borderId="99"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99"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99"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99"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3" xfId="0" applyFont="1" applyFill="1" applyBorder="1" applyAlignment="1" applyProtection="1">
      <alignment horizontal="center" vertical="center" wrapText="1"/>
    </xf>
    <xf numFmtId="0" fontId="28" fillId="43" borderId="124" xfId="0" applyFont="1" applyFill="1" applyBorder="1" applyAlignment="1" applyProtection="1">
      <alignment horizontal="center" vertical="center" wrapText="1"/>
    </xf>
    <xf numFmtId="0" fontId="28" fillId="45" borderId="94" xfId="0" applyFont="1" applyFill="1" applyBorder="1" applyAlignment="1">
      <alignment horizontal="right" vertical="center"/>
    </xf>
    <xf numFmtId="0" fontId="28" fillId="45" borderId="95" xfId="0" applyFont="1" applyFill="1" applyBorder="1" applyAlignment="1">
      <alignment horizontal="right" vertical="center"/>
    </xf>
    <xf numFmtId="0" fontId="28" fillId="45" borderId="106" xfId="0" applyFont="1" applyFill="1" applyBorder="1" applyAlignment="1">
      <alignment horizontal="right" vertical="center"/>
    </xf>
    <xf numFmtId="0" fontId="28" fillId="45" borderId="107" xfId="0" applyFont="1" applyFill="1" applyBorder="1" applyAlignment="1">
      <alignment horizontal="right" vertical="center"/>
    </xf>
    <xf numFmtId="0" fontId="28" fillId="45" borderId="42" xfId="0" applyFont="1" applyFill="1" applyBorder="1" applyAlignment="1">
      <alignment horizontal="right" vertical="center"/>
    </xf>
    <xf numFmtId="0" fontId="28" fillId="45" borderId="59" xfId="0" applyFont="1" applyFill="1" applyBorder="1" applyAlignment="1">
      <alignment horizontal="right" vertical="center"/>
    </xf>
    <xf numFmtId="0" fontId="32" fillId="43" borderId="120" xfId="0" applyFont="1" applyFill="1" applyBorder="1" applyAlignment="1">
      <alignment horizontal="right" vertical="center"/>
    </xf>
    <xf numFmtId="0" fontId="32" fillId="43" borderId="121" xfId="0" applyFont="1" applyFill="1" applyBorder="1" applyAlignment="1">
      <alignment horizontal="right" vertical="center"/>
    </xf>
    <xf numFmtId="1" fontId="33" fillId="42" borderId="75" xfId="0" applyNumberFormat="1" applyFont="1" applyFill="1" applyBorder="1" applyAlignment="1">
      <alignment horizontal="center" vertical="center"/>
    </xf>
    <xf numFmtId="1" fontId="33" fillId="42" borderId="56" xfId="0" applyNumberFormat="1" applyFont="1" applyFill="1" applyBorder="1" applyAlignment="1">
      <alignment horizontal="center" vertical="center"/>
    </xf>
    <xf numFmtId="1" fontId="33" fillId="42" borderId="48" xfId="0" applyNumberFormat="1" applyFont="1" applyFill="1" applyBorder="1" applyAlignment="1">
      <alignment horizontal="center" vertical="center"/>
    </xf>
    <xf numFmtId="0" fontId="28" fillId="45" borderId="132" xfId="0" applyFont="1" applyFill="1" applyBorder="1" applyAlignment="1">
      <alignment horizontal="right" vertical="center"/>
    </xf>
    <xf numFmtId="0" fontId="28" fillId="45" borderId="133" xfId="0" applyFont="1" applyFill="1" applyBorder="1" applyAlignment="1">
      <alignment horizontal="right" vertical="center"/>
    </xf>
    <xf numFmtId="0" fontId="28" fillId="45" borderId="134" xfId="0" applyFont="1" applyFill="1" applyBorder="1" applyAlignment="1">
      <alignment horizontal="right" vertical="center"/>
    </xf>
    <xf numFmtId="0" fontId="32" fillId="22" borderId="99"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32" fillId="67" borderId="230" xfId="0" applyFont="1" applyFill="1" applyBorder="1" applyAlignment="1">
      <alignment horizontal="right" vertical="center"/>
    </xf>
    <xf numFmtId="0" fontId="32" fillId="67" borderId="231" xfId="0" applyFont="1" applyFill="1" applyBorder="1" applyAlignment="1">
      <alignment horizontal="right" vertical="center"/>
    </xf>
    <xf numFmtId="0" fontId="32" fillId="0" borderId="77" xfId="0" applyFont="1" applyBorder="1" applyAlignment="1" applyProtection="1">
      <alignment horizontal="center" vertical="center" wrapText="1"/>
    </xf>
    <xf numFmtId="0" fontId="32" fillId="0" borderId="85" xfId="0" applyFont="1" applyBorder="1" applyAlignment="1" applyProtection="1">
      <alignment horizontal="center" vertical="center" wrapText="1"/>
    </xf>
    <xf numFmtId="0" fontId="32" fillId="0" borderId="79" xfId="0" applyFont="1" applyBorder="1" applyAlignment="1" applyProtection="1">
      <alignment horizontal="center" vertical="center" wrapText="1"/>
    </xf>
    <xf numFmtId="0" fontId="32" fillId="39" borderId="69" xfId="49" applyFont="1" applyFill="1" applyBorder="1" applyAlignment="1" applyProtection="1">
      <alignment horizontal="center" vertical="center"/>
    </xf>
    <xf numFmtId="0" fontId="32" fillId="39" borderId="70" xfId="49" applyFont="1" applyFill="1" applyBorder="1" applyAlignment="1" applyProtection="1">
      <alignment horizontal="center" vertical="center"/>
    </xf>
    <xf numFmtId="0" fontId="32" fillId="39" borderId="71" xfId="49" applyFont="1" applyFill="1" applyBorder="1" applyAlignment="1" applyProtection="1">
      <alignment horizontal="center" vertical="center"/>
    </xf>
    <xf numFmtId="0" fontId="32" fillId="0" borderId="80" xfId="33" applyFont="1" applyBorder="1" applyAlignment="1">
      <alignment horizontal="center" vertical="center" wrapText="1"/>
    </xf>
    <xf numFmtId="0" fontId="32" fillId="0" borderId="81" xfId="33" applyFont="1" applyBorder="1" applyAlignment="1">
      <alignment horizontal="center" vertical="center" wrapText="1"/>
    </xf>
    <xf numFmtId="0" fontId="32" fillId="0" borderId="82" xfId="33" applyFont="1" applyBorder="1" applyAlignment="1">
      <alignment horizontal="center" vertical="center" wrapText="1"/>
    </xf>
    <xf numFmtId="0" fontId="28" fillId="43" borderId="137" xfId="0" applyFont="1" applyFill="1" applyBorder="1" applyAlignment="1">
      <alignment horizontal="center" vertical="center" wrapText="1"/>
    </xf>
    <xf numFmtId="0" fontId="28" fillId="43" borderId="124" xfId="0" applyFont="1" applyFill="1" applyBorder="1" applyAlignment="1">
      <alignment horizontal="center" vertical="center" wrapText="1"/>
    </xf>
    <xf numFmtId="0" fontId="28" fillId="43" borderId="125" xfId="0" applyFont="1" applyFill="1" applyBorder="1" applyAlignment="1" applyProtection="1">
      <alignment horizontal="center" vertical="center" wrapText="1"/>
    </xf>
    <xf numFmtId="0" fontId="28" fillId="43" borderId="136" xfId="0" applyFont="1" applyFill="1" applyBorder="1" applyAlignment="1">
      <alignment horizontal="center" vertical="center"/>
    </xf>
    <xf numFmtId="0" fontId="28" fillId="43" borderId="123" xfId="0" applyFont="1" applyFill="1" applyBorder="1" applyAlignment="1">
      <alignment horizontal="center" vertical="center"/>
    </xf>
    <xf numFmtId="0" fontId="28" fillId="43" borderId="137" xfId="0" applyFont="1" applyFill="1" applyBorder="1" applyAlignment="1">
      <alignment horizontal="center" vertical="center"/>
    </xf>
    <xf numFmtId="0" fontId="28" fillId="43" borderId="124" xfId="0" applyFont="1" applyFill="1" applyBorder="1" applyAlignment="1">
      <alignment horizontal="center" vertical="center"/>
    </xf>
    <xf numFmtId="0" fontId="28" fillId="43" borderId="138" xfId="0" applyFont="1" applyFill="1" applyBorder="1" applyAlignment="1">
      <alignment horizontal="center" vertical="center" wrapText="1"/>
    </xf>
    <xf numFmtId="0" fontId="28" fillId="43" borderId="125" xfId="0" applyFont="1" applyFill="1" applyBorder="1" applyAlignment="1">
      <alignment horizontal="center" vertical="center" wrapText="1"/>
    </xf>
    <xf numFmtId="0" fontId="32" fillId="0" borderId="156" xfId="0" applyFont="1" applyBorder="1" applyAlignment="1">
      <alignment horizontal="center"/>
    </xf>
    <xf numFmtId="0" fontId="32" fillId="0" borderId="201" xfId="0" applyFont="1" applyBorder="1" applyAlignment="1">
      <alignment horizontal="center"/>
    </xf>
    <xf numFmtId="0" fontId="32" fillId="0" borderId="202" xfId="0" applyFont="1" applyBorder="1" applyAlignment="1">
      <alignment horizontal="center"/>
    </xf>
    <xf numFmtId="0" fontId="32" fillId="43" borderId="158" xfId="0" applyFont="1" applyFill="1" applyBorder="1" applyAlignment="1">
      <alignment horizontal="right" vertical="center"/>
    </xf>
    <xf numFmtId="0" fontId="32" fillId="43" borderId="157" xfId="0" applyFont="1" applyFill="1" applyBorder="1" applyAlignment="1">
      <alignment horizontal="right" vertical="center"/>
    </xf>
    <xf numFmtId="0" fontId="50" fillId="43" borderId="195" xfId="0" applyFont="1" applyFill="1" applyBorder="1" applyAlignment="1">
      <alignment horizontal="right" vertical="center"/>
    </xf>
    <xf numFmtId="0" fontId="50" fillId="43" borderId="196" xfId="0" applyFont="1" applyFill="1" applyBorder="1" applyAlignment="1">
      <alignment horizontal="right" vertical="center"/>
    </xf>
    <xf numFmtId="0" fontId="32" fillId="43" borderId="42" xfId="0" applyFont="1" applyFill="1" applyBorder="1" applyAlignment="1">
      <alignment horizontal="right" vertical="center"/>
    </xf>
    <xf numFmtId="0" fontId="32" fillId="43" borderId="59" xfId="0" applyFont="1" applyFill="1" applyBorder="1" applyAlignment="1">
      <alignment horizontal="right" vertical="center"/>
    </xf>
    <xf numFmtId="0" fontId="32" fillId="43" borderId="235" xfId="0" applyFont="1" applyFill="1" applyBorder="1" applyAlignment="1">
      <alignment horizontal="right" vertical="center"/>
    </xf>
    <xf numFmtId="0" fontId="32" fillId="43" borderId="236" xfId="0" applyFont="1" applyFill="1" applyBorder="1" applyAlignment="1">
      <alignment horizontal="right" vertical="center"/>
    </xf>
    <xf numFmtId="0" fontId="32" fillId="43" borderId="238" xfId="0" applyFont="1" applyFill="1" applyBorder="1" applyAlignment="1">
      <alignment horizontal="right" vertical="center"/>
    </xf>
    <xf numFmtId="0" fontId="32" fillId="43" borderId="246" xfId="0" applyFont="1" applyFill="1" applyBorder="1" applyAlignment="1">
      <alignment horizontal="right" vertical="center"/>
    </xf>
    <xf numFmtId="0" fontId="32" fillId="56" borderId="207" xfId="0" applyFont="1" applyFill="1" applyBorder="1" applyAlignment="1">
      <alignment horizontal="right" vertical="center"/>
    </xf>
    <xf numFmtId="0" fontId="32" fillId="56" borderId="208" xfId="0" applyFont="1" applyFill="1" applyBorder="1" applyAlignment="1">
      <alignment horizontal="right" vertical="center"/>
    </xf>
    <xf numFmtId="0" fontId="32" fillId="56" borderId="42" xfId="0" applyFont="1" applyFill="1" applyBorder="1" applyAlignment="1">
      <alignment horizontal="right" vertical="center"/>
    </xf>
    <xf numFmtId="0" fontId="32" fillId="56" borderId="59" xfId="0" applyFont="1" applyFill="1" applyBorder="1" applyAlignment="1">
      <alignment horizontal="right" vertical="center"/>
    </xf>
    <xf numFmtId="0" fontId="32" fillId="52" borderId="207" xfId="0" applyFont="1" applyFill="1" applyBorder="1" applyAlignment="1">
      <alignment horizontal="right" vertical="center"/>
    </xf>
    <xf numFmtId="0" fontId="32" fillId="52" borderId="208" xfId="0" applyFont="1" applyFill="1" applyBorder="1" applyAlignment="1">
      <alignment horizontal="right" vertical="center"/>
    </xf>
    <xf numFmtId="0" fontId="28" fillId="45" borderId="188" xfId="0" applyFont="1" applyFill="1" applyBorder="1" applyAlignment="1">
      <alignment horizontal="right" vertical="center"/>
    </xf>
    <xf numFmtId="0" fontId="28" fillId="45" borderId="189" xfId="0" applyFont="1" applyFill="1" applyBorder="1" applyAlignment="1">
      <alignment horizontal="right" vertical="center"/>
    </xf>
    <xf numFmtId="0" fontId="28" fillId="45" borderId="191" xfId="0" applyFont="1" applyFill="1" applyBorder="1" applyAlignment="1">
      <alignment horizontal="right" vertical="center"/>
    </xf>
    <xf numFmtId="0" fontId="32" fillId="43" borderId="195" xfId="0" applyFont="1" applyFill="1" applyBorder="1" applyAlignment="1">
      <alignment horizontal="right" vertical="center"/>
    </xf>
    <xf numFmtId="0" fontId="32" fillId="43" borderId="196" xfId="0" applyFont="1" applyFill="1" applyBorder="1" applyAlignment="1">
      <alignment horizontal="right" vertical="center"/>
    </xf>
    <xf numFmtId="0" fontId="32" fillId="59" borderId="241" xfId="0" applyFont="1" applyFill="1" applyBorder="1" applyAlignment="1">
      <alignment horizontal="right" vertical="center"/>
    </xf>
    <xf numFmtId="0" fontId="32" fillId="59" borderId="263" xfId="0" applyFont="1" applyFill="1" applyBorder="1" applyAlignment="1">
      <alignment horizontal="right" vertical="center"/>
    </xf>
    <xf numFmtId="0" fontId="32" fillId="59" borderId="250" xfId="0" applyFont="1" applyFill="1" applyBorder="1" applyAlignment="1">
      <alignment horizontal="right" vertical="center"/>
    </xf>
    <xf numFmtId="0" fontId="32" fillId="59" borderId="42" xfId="0" applyFont="1" applyFill="1" applyBorder="1" applyAlignment="1">
      <alignment horizontal="right" vertical="center"/>
    </xf>
    <xf numFmtId="0" fontId="32" fillId="59" borderId="59" xfId="0" applyFont="1" applyFill="1" applyBorder="1" applyAlignment="1">
      <alignment horizontal="right" vertical="center"/>
    </xf>
    <xf numFmtId="0" fontId="43" fillId="42" borderId="87" xfId="0" applyFont="1" applyFill="1" applyBorder="1" applyAlignment="1" applyProtection="1">
      <alignment horizontal="left" vertical="center" wrapText="1"/>
    </xf>
    <xf numFmtId="0" fontId="43" fillId="42" borderId="147" xfId="0" applyFont="1" applyFill="1" applyBorder="1" applyAlignment="1" applyProtection="1">
      <alignment horizontal="left" vertical="center" wrapText="1"/>
    </xf>
    <xf numFmtId="0" fontId="43" fillId="42" borderId="149" xfId="0" applyFont="1" applyFill="1" applyBorder="1" applyAlignment="1" applyProtection="1">
      <alignment horizontal="left" vertical="center" wrapText="1"/>
    </xf>
    <xf numFmtId="0" fontId="33" fillId="72" borderId="294" xfId="0" applyFont="1" applyFill="1" applyBorder="1" applyAlignment="1">
      <alignment horizontal="right" vertical="center"/>
    </xf>
    <xf numFmtId="0" fontId="33" fillId="72" borderId="295" xfId="0" applyFont="1" applyFill="1" applyBorder="1" applyAlignment="1">
      <alignment horizontal="right" vertical="center"/>
    </xf>
    <xf numFmtId="0" fontId="33" fillId="72" borderId="299" xfId="0" applyFont="1" applyFill="1" applyBorder="1" applyAlignment="1">
      <alignment horizontal="right" vertical="center"/>
    </xf>
    <xf numFmtId="0" fontId="32" fillId="45" borderId="67" xfId="0" applyFont="1" applyFill="1" applyBorder="1" applyAlignment="1">
      <alignment horizontal="right" vertical="center"/>
    </xf>
    <xf numFmtId="0" fontId="32" fillId="45" borderId="297" xfId="0" applyFont="1" applyFill="1" applyBorder="1" applyAlignment="1">
      <alignment horizontal="right" vertical="center"/>
    </xf>
    <xf numFmtId="0" fontId="32" fillId="45" borderId="298" xfId="0" applyFont="1" applyFill="1" applyBorder="1" applyAlignment="1">
      <alignment horizontal="right" vertical="center"/>
    </xf>
    <xf numFmtId="0" fontId="32" fillId="0" borderId="241" xfId="0" applyFont="1" applyFill="1" applyBorder="1" applyAlignment="1">
      <alignment horizontal="center" vertical="center"/>
    </xf>
    <xf numFmtId="0" fontId="32" fillId="0" borderId="263" xfId="0" applyFont="1" applyFill="1" applyBorder="1" applyAlignment="1">
      <alignment horizontal="center" vertical="center"/>
    </xf>
    <xf numFmtId="0" fontId="32" fillId="0" borderId="240" xfId="0" applyFont="1" applyFill="1" applyBorder="1" applyAlignment="1">
      <alignment horizontal="center" vertical="center"/>
    </xf>
    <xf numFmtId="0" fontId="32" fillId="51" borderId="300" xfId="0" applyFont="1" applyFill="1" applyBorder="1" applyAlignment="1">
      <alignment horizontal="right" vertical="center"/>
    </xf>
    <xf numFmtId="0" fontId="32" fillId="51" borderId="301" xfId="0" applyFont="1" applyFill="1" applyBorder="1" applyAlignment="1">
      <alignment horizontal="right" vertical="center"/>
    </xf>
    <xf numFmtId="0" fontId="32" fillId="51" borderId="42" xfId="0" applyFont="1" applyFill="1" applyBorder="1" applyAlignment="1">
      <alignment horizontal="right" vertical="center"/>
    </xf>
    <xf numFmtId="0" fontId="32" fillId="51" borderId="59" xfId="0" applyFont="1" applyFill="1" applyBorder="1" applyAlignment="1">
      <alignment horizontal="right" vertical="center"/>
    </xf>
    <xf numFmtId="0" fontId="32" fillId="0" borderId="53" xfId="0" applyFont="1" applyBorder="1" applyAlignment="1">
      <alignment horizontal="left" vertical="center"/>
    </xf>
    <xf numFmtId="0" fontId="32" fillId="0" borderId="11" xfId="0" applyFont="1" applyBorder="1" applyAlignment="1">
      <alignment horizontal="left" vertical="center"/>
    </xf>
    <xf numFmtId="0" fontId="32" fillId="42" borderId="53" xfId="0" applyFont="1" applyFill="1" applyBorder="1" applyAlignment="1" applyProtection="1">
      <alignment horizontal="left" vertical="center"/>
    </xf>
    <xf numFmtId="0" fontId="32" fillId="42" borderId="11" xfId="0" applyFont="1" applyFill="1" applyBorder="1" applyAlignment="1" applyProtection="1">
      <alignment horizontal="left" vertical="center"/>
    </xf>
    <xf numFmtId="0" fontId="32" fillId="45" borderId="42" xfId="0" applyFont="1" applyFill="1" applyBorder="1" applyAlignment="1">
      <alignment horizontal="right" vertical="center"/>
    </xf>
    <xf numFmtId="0" fontId="32" fillId="45" borderId="59" xfId="0" applyFont="1" applyFill="1" applyBorder="1" applyAlignment="1">
      <alignment horizontal="right" vertical="center"/>
    </xf>
    <xf numFmtId="0" fontId="32" fillId="42" borderId="286" xfId="0" applyFont="1" applyFill="1" applyBorder="1" applyAlignment="1">
      <alignment horizontal="center" vertical="center"/>
    </xf>
    <xf numFmtId="0" fontId="32" fillId="42" borderId="175" xfId="0" applyFont="1" applyFill="1" applyBorder="1" applyAlignment="1">
      <alignment horizontal="center" vertical="center"/>
    </xf>
    <xf numFmtId="0" fontId="32" fillId="42" borderId="287" xfId="0" applyFont="1" applyFill="1" applyBorder="1" applyAlignment="1">
      <alignment horizontal="center" vertical="center"/>
    </xf>
    <xf numFmtId="0" fontId="32" fillId="42" borderId="252" xfId="0" applyFont="1" applyFill="1" applyBorder="1" applyAlignment="1">
      <alignment horizontal="center" vertical="center"/>
    </xf>
    <xf numFmtId="0" fontId="32" fillId="42" borderId="258" xfId="0" applyFont="1" applyFill="1" applyBorder="1" applyAlignment="1">
      <alignment horizontal="center" vertical="center"/>
    </xf>
    <xf numFmtId="0" fontId="32" fillId="42" borderId="239" xfId="0" applyFont="1" applyFill="1" applyBorder="1" applyAlignment="1">
      <alignment horizontal="center" vertical="center"/>
    </xf>
    <xf numFmtId="0" fontId="28" fillId="43" borderId="272" xfId="0" applyFont="1" applyFill="1" applyBorder="1" applyAlignment="1">
      <alignment horizontal="center" vertical="center"/>
    </xf>
    <xf numFmtId="0" fontId="28" fillId="43" borderId="275" xfId="0" applyFont="1" applyFill="1" applyBorder="1" applyAlignment="1">
      <alignment horizontal="center" vertical="center"/>
    </xf>
    <xf numFmtId="0" fontId="28" fillId="43" borderId="273" xfId="0" applyFont="1" applyFill="1" applyBorder="1" applyAlignment="1">
      <alignment horizontal="center" vertical="center" wrapText="1"/>
    </xf>
    <xf numFmtId="0" fontId="28" fillId="43" borderId="262" xfId="0" applyFont="1" applyFill="1" applyBorder="1" applyAlignment="1">
      <alignment horizontal="center" vertical="center" wrapText="1"/>
    </xf>
    <xf numFmtId="0" fontId="28" fillId="43" borderId="273" xfId="0" applyFont="1" applyFill="1" applyBorder="1" applyAlignment="1">
      <alignment horizontal="center" vertical="center"/>
    </xf>
    <xf numFmtId="0" fontId="28" fillId="43" borderId="262" xfId="0" applyFont="1" applyFill="1" applyBorder="1" applyAlignment="1">
      <alignment horizontal="center" vertical="center"/>
    </xf>
    <xf numFmtId="0" fontId="28" fillId="43" borderId="274" xfId="0" applyFont="1" applyFill="1" applyBorder="1" applyAlignment="1">
      <alignment horizontal="center" vertical="center" wrapText="1"/>
    </xf>
    <xf numFmtId="0" fontId="28" fillId="43" borderId="276" xfId="0" applyFont="1" applyFill="1" applyBorder="1" applyAlignment="1">
      <alignment horizontal="center" vertical="center" wrapText="1"/>
    </xf>
    <xf numFmtId="0" fontId="32" fillId="58" borderId="42" xfId="0" applyFont="1" applyFill="1" applyBorder="1" applyAlignment="1">
      <alignment horizontal="right" vertical="center"/>
    </xf>
    <xf numFmtId="0" fontId="32" fillId="58" borderId="59" xfId="0" applyFont="1" applyFill="1" applyBorder="1" applyAlignment="1">
      <alignment horizontal="right" vertical="center"/>
    </xf>
    <xf numFmtId="0" fontId="32" fillId="58" borderId="257" xfId="0" applyFont="1" applyFill="1" applyBorder="1" applyAlignment="1">
      <alignment horizontal="right" vertical="center"/>
    </xf>
    <xf numFmtId="0" fontId="33" fillId="72" borderId="241" xfId="0" applyFont="1" applyFill="1" applyBorder="1" applyAlignment="1">
      <alignment horizontal="right" vertical="center"/>
    </xf>
    <xf numFmtId="0" fontId="33" fillId="72" borderId="263" xfId="0" applyFont="1" applyFill="1" applyBorder="1" applyAlignment="1">
      <alignment horizontal="right" vertical="center"/>
    </xf>
    <xf numFmtId="0" fontId="33" fillId="72" borderId="250" xfId="0" applyFont="1" applyFill="1" applyBorder="1" applyAlignment="1">
      <alignment horizontal="right" vertical="center"/>
    </xf>
    <xf numFmtId="0" fontId="32" fillId="65" borderId="241" xfId="0" applyFont="1" applyFill="1" applyBorder="1" applyAlignment="1">
      <alignment horizontal="right" vertical="center"/>
    </xf>
    <xf numFmtId="0" fontId="32" fillId="65" borderId="263" xfId="0" applyFont="1" applyFill="1" applyBorder="1" applyAlignment="1">
      <alignment horizontal="right" vertical="center"/>
    </xf>
    <xf numFmtId="0" fontId="32" fillId="65" borderId="250" xfId="0" applyFont="1" applyFill="1" applyBorder="1" applyAlignment="1">
      <alignment horizontal="right" vertical="center"/>
    </xf>
    <xf numFmtId="0" fontId="32" fillId="65" borderId="67" xfId="0" applyFont="1" applyFill="1" applyBorder="1" applyAlignment="1">
      <alignment horizontal="right" vertical="center"/>
    </xf>
    <xf numFmtId="0" fontId="32" fillId="65" borderId="297" xfId="0" applyFont="1" applyFill="1" applyBorder="1" applyAlignment="1">
      <alignment horizontal="right" vertical="center"/>
    </xf>
    <xf numFmtId="0" fontId="32" fillId="65" borderId="298" xfId="0" applyFont="1" applyFill="1" applyBorder="1" applyAlignment="1">
      <alignment horizontal="right" vertical="center"/>
    </xf>
    <xf numFmtId="0" fontId="32" fillId="43" borderId="300" xfId="0" applyFont="1" applyFill="1" applyBorder="1" applyAlignment="1">
      <alignment horizontal="right" vertical="center"/>
    </xf>
    <xf numFmtId="0" fontId="32" fillId="43" borderId="301" xfId="0" applyFont="1" applyFill="1" applyBorder="1" applyAlignment="1">
      <alignment horizontal="right" vertical="center"/>
    </xf>
    <xf numFmtId="0" fontId="32" fillId="64" borderId="241" xfId="0" applyFont="1" applyFill="1" applyBorder="1" applyAlignment="1">
      <alignment horizontal="right" vertical="center"/>
    </xf>
    <xf numFmtId="0" fontId="32" fillId="64" borderId="263" xfId="0" applyFont="1" applyFill="1" applyBorder="1" applyAlignment="1">
      <alignment horizontal="right" vertical="center"/>
    </xf>
    <xf numFmtId="0" fontId="33" fillId="45" borderId="300" xfId="0" applyFont="1" applyFill="1" applyBorder="1" applyAlignment="1">
      <alignment horizontal="right" vertical="center"/>
    </xf>
    <xf numFmtId="0" fontId="33" fillId="45" borderId="301" xfId="0" applyFont="1" applyFill="1" applyBorder="1" applyAlignment="1">
      <alignment horizontal="right" vertical="center"/>
    </xf>
    <xf numFmtId="0" fontId="32" fillId="65" borderId="282" xfId="0" applyFont="1" applyFill="1" applyBorder="1" applyAlignment="1">
      <alignment horizontal="right" vertical="center"/>
    </xf>
    <xf numFmtId="0" fontId="32" fillId="64" borderId="282" xfId="0" applyFont="1" applyFill="1" applyBorder="1" applyAlignment="1">
      <alignment horizontal="right" vertical="center"/>
    </xf>
    <xf numFmtId="0" fontId="32" fillId="65" borderId="264" xfId="0" applyFont="1" applyFill="1" applyBorder="1" applyAlignment="1">
      <alignment horizontal="right" vertical="center"/>
    </xf>
    <xf numFmtId="0" fontId="32" fillId="65" borderId="265" xfId="0" applyFont="1" applyFill="1" applyBorder="1" applyAlignment="1">
      <alignment horizontal="right" vertical="center"/>
    </xf>
    <xf numFmtId="0" fontId="33" fillId="45" borderId="283" xfId="0" applyFont="1" applyFill="1" applyBorder="1" applyAlignment="1">
      <alignment horizontal="right" vertical="center"/>
    </xf>
    <xf numFmtId="0" fontId="33" fillId="45" borderId="260" xfId="0" applyFont="1" applyFill="1" applyBorder="1" applyAlignment="1">
      <alignment horizontal="right" vertical="center"/>
    </xf>
    <xf numFmtId="0" fontId="33" fillId="45" borderId="261" xfId="0" applyFont="1" applyFill="1" applyBorder="1" applyAlignment="1">
      <alignment horizontal="right" vertical="center"/>
    </xf>
    <xf numFmtId="0" fontId="32" fillId="45" borderId="264" xfId="0" applyFont="1" applyFill="1" applyBorder="1" applyAlignment="1">
      <alignment horizontal="right" vertical="center"/>
    </xf>
    <xf numFmtId="0" fontId="32" fillId="45" borderId="265" xfId="0" applyFont="1" applyFill="1" applyBorder="1" applyAlignment="1">
      <alignment horizontal="right" vertical="center"/>
    </xf>
    <xf numFmtId="0" fontId="32" fillId="0" borderId="286" xfId="0" applyFont="1" applyFill="1" applyBorder="1" applyAlignment="1">
      <alignment horizontal="center" vertical="center"/>
    </xf>
    <xf numFmtId="0" fontId="32" fillId="0" borderId="175" xfId="0" applyFont="1" applyFill="1" applyBorder="1" applyAlignment="1">
      <alignment horizontal="center" vertical="center"/>
    </xf>
    <xf numFmtId="0" fontId="32" fillId="0" borderId="287" xfId="0" applyFont="1" applyFill="1" applyBorder="1" applyAlignment="1">
      <alignment horizontal="center" vertical="center"/>
    </xf>
    <xf numFmtId="0" fontId="32" fillId="0" borderId="252" xfId="0" applyFont="1" applyFill="1" applyBorder="1" applyAlignment="1">
      <alignment horizontal="center" vertical="center"/>
    </xf>
    <xf numFmtId="0" fontId="32" fillId="0" borderId="258" xfId="0" applyFont="1" applyFill="1" applyBorder="1" applyAlignment="1">
      <alignment horizontal="center" vertical="center"/>
    </xf>
    <xf numFmtId="0" fontId="32" fillId="0" borderId="239" xfId="0" applyFont="1" applyFill="1" applyBorder="1" applyAlignment="1">
      <alignment horizontal="center" vertical="center"/>
    </xf>
    <xf numFmtId="0" fontId="32" fillId="0" borderId="266" xfId="0" applyFont="1" applyBorder="1" applyAlignment="1" applyProtection="1">
      <alignment horizontal="center" vertical="center" wrapText="1"/>
    </xf>
    <xf numFmtId="0" fontId="32" fillId="0" borderId="267" xfId="0" applyFont="1" applyBorder="1" applyAlignment="1" applyProtection="1">
      <alignment horizontal="center" vertical="center" wrapText="1"/>
    </xf>
    <xf numFmtId="0" fontId="32" fillId="0" borderId="268" xfId="0" applyFont="1" applyBorder="1" applyAlignment="1" applyProtection="1">
      <alignment horizontal="center" vertical="center" wrapText="1"/>
    </xf>
    <xf numFmtId="0" fontId="32" fillId="39" borderId="252" xfId="49" applyFont="1" applyFill="1" applyBorder="1" applyAlignment="1" applyProtection="1">
      <alignment horizontal="center" vertical="center" wrapText="1"/>
    </xf>
    <xf numFmtId="0" fontId="32" fillId="39" borderId="258" xfId="49" applyFont="1" applyFill="1" applyBorder="1" applyAlignment="1" applyProtection="1">
      <alignment horizontal="center" vertical="center" wrapText="1"/>
    </xf>
    <xf numFmtId="0" fontId="32" fillId="39" borderId="239" xfId="49" applyFont="1" applyFill="1" applyBorder="1" applyAlignment="1" applyProtection="1">
      <alignment horizontal="center" vertical="center" wrapText="1"/>
    </xf>
    <xf numFmtId="0" fontId="48" fillId="0" borderId="269" xfId="33" applyFont="1" applyBorder="1" applyAlignment="1">
      <alignment horizontal="center" vertical="center" wrapText="1"/>
    </xf>
    <xf numFmtId="0" fontId="48" fillId="0" borderId="270" xfId="33" applyFont="1" applyBorder="1" applyAlignment="1">
      <alignment horizontal="center" vertical="center" wrapText="1"/>
    </xf>
    <xf numFmtId="0" fontId="48" fillId="0" borderId="271" xfId="33" applyFont="1" applyBorder="1" applyAlignment="1">
      <alignment horizontal="center" vertical="center" wrapText="1"/>
    </xf>
    <xf numFmtId="0" fontId="32" fillId="0" borderId="266" xfId="0" applyFont="1" applyFill="1" applyBorder="1" applyAlignment="1" applyProtection="1">
      <alignment horizontal="center" vertical="center" wrapText="1"/>
      <protection locked="0"/>
    </xf>
    <xf numFmtId="0" fontId="32" fillId="0" borderId="175" xfId="0" applyFont="1" applyFill="1" applyBorder="1" applyAlignment="1" applyProtection="1">
      <alignment horizontal="center" vertical="center" wrapText="1"/>
      <protection locked="0"/>
    </xf>
    <xf numFmtId="0" fontId="32" fillId="0" borderId="268" xfId="0" applyFont="1" applyFill="1" applyBorder="1" applyAlignment="1" applyProtection="1">
      <alignment horizontal="center" vertical="center" wrapText="1"/>
      <protection locked="0"/>
    </xf>
    <xf numFmtId="0" fontId="32" fillId="0" borderId="252" xfId="0" applyFont="1" applyFill="1" applyBorder="1" applyAlignment="1" applyProtection="1">
      <alignment horizontal="center" vertical="center" wrapText="1"/>
      <protection locked="0"/>
    </xf>
    <xf numFmtId="0" fontId="32" fillId="0" borderId="258" xfId="0" applyFont="1" applyFill="1" applyBorder="1" applyAlignment="1" applyProtection="1">
      <alignment horizontal="center" vertical="center" wrapText="1"/>
      <protection locked="0"/>
    </xf>
    <xf numFmtId="0" fontId="32" fillId="0" borderId="239" xfId="0" applyFont="1" applyFill="1" applyBorder="1" applyAlignment="1" applyProtection="1">
      <alignment horizontal="center" vertical="center" wrapText="1"/>
      <protection locked="0"/>
    </xf>
    <xf numFmtId="0" fontId="32" fillId="67" borderId="279" xfId="0" applyFont="1" applyFill="1" applyBorder="1" applyAlignment="1">
      <alignment horizontal="right" vertical="center"/>
    </xf>
    <xf numFmtId="0" fontId="32" fillId="67" borderId="280" xfId="0" applyFont="1" applyFill="1" applyBorder="1" applyAlignment="1">
      <alignment horizontal="right" vertical="center"/>
    </xf>
    <xf numFmtId="0" fontId="33" fillId="45" borderId="294" xfId="0" applyFont="1" applyFill="1" applyBorder="1" applyAlignment="1">
      <alignment horizontal="right" vertical="center"/>
    </xf>
    <xf numFmtId="0" fontId="33" fillId="45" borderId="295" xfId="0" applyFont="1" applyFill="1" applyBorder="1" applyAlignment="1">
      <alignment horizontal="right" vertical="center"/>
    </xf>
    <xf numFmtId="0" fontId="33" fillId="45" borderId="299" xfId="0" applyFont="1" applyFill="1" applyBorder="1" applyAlignment="1">
      <alignment horizontal="right" vertical="center"/>
    </xf>
    <xf numFmtId="0" fontId="32" fillId="59" borderId="282" xfId="0" applyFont="1" applyFill="1" applyBorder="1" applyAlignment="1">
      <alignment horizontal="right" vertical="center"/>
    </xf>
    <xf numFmtId="0" fontId="32" fillId="43" borderId="294" xfId="0" applyFont="1" applyFill="1" applyBorder="1" applyAlignment="1">
      <alignment horizontal="right" vertical="center"/>
    </xf>
    <xf numFmtId="0" fontId="32" fillId="43" borderId="295" xfId="0" applyFont="1" applyFill="1" applyBorder="1" applyAlignment="1">
      <alignment horizontal="right" vertical="center"/>
    </xf>
    <xf numFmtId="0" fontId="33" fillId="71" borderId="243" xfId="0" applyFont="1" applyFill="1" applyBorder="1" applyAlignment="1">
      <alignment horizontal="right" vertical="center"/>
    </xf>
    <xf numFmtId="0" fontId="33" fillId="71" borderId="244" xfId="0" applyFont="1" applyFill="1" applyBorder="1" applyAlignment="1">
      <alignment horizontal="right" vertical="center"/>
    </xf>
    <xf numFmtId="0" fontId="32" fillId="67" borderId="42" xfId="0" applyFont="1" applyFill="1" applyBorder="1" applyAlignment="1">
      <alignment horizontal="right" vertical="center"/>
    </xf>
    <xf numFmtId="0" fontId="32" fillId="67" borderId="59" xfId="0" applyFont="1" applyFill="1" applyBorder="1" applyAlignment="1">
      <alignment horizontal="right" vertical="center"/>
    </xf>
    <xf numFmtId="0" fontId="33" fillId="45" borderId="241" xfId="0" applyFont="1" applyFill="1" applyBorder="1" applyAlignment="1">
      <alignment horizontal="right" vertical="center"/>
    </xf>
    <xf numFmtId="0" fontId="33" fillId="45" borderId="282" xfId="0" applyFont="1" applyFill="1" applyBorder="1" applyAlignment="1">
      <alignment horizontal="right" vertical="center"/>
    </xf>
    <xf numFmtId="44" fontId="28" fillId="63" borderId="202" xfId="50" applyNumberFormat="1" applyFont="1" applyFill="1" applyBorder="1" applyAlignment="1">
      <alignment horizontal="right" vertical="center"/>
    </xf>
    <xf numFmtId="44" fontId="28" fillId="63" borderId="202" xfId="48" applyNumberFormat="1" applyFont="1" applyFill="1" applyBorder="1" applyAlignment="1">
      <alignment horizontal="right" vertical="center"/>
    </xf>
    <xf numFmtId="0" fontId="29" fillId="0" borderId="162" xfId="0" applyFont="1" applyFill="1" applyBorder="1" applyAlignment="1">
      <alignment horizontal="center" vertical="center" wrapText="1"/>
    </xf>
    <xf numFmtId="44" fontId="29" fillId="0" borderId="135" xfId="50" applyNumberFormat="1" applyFont="1" applyBorder="1" applyAlignment="1">
      <alignment horizontal="center" vertical="center" wrapText="1"/>
    </xf>
    <xf numFmtId="0" fontId="29" fillId="0" borderId="159" xfId="50" applyNumberFormat="1" applyFont="1" applyBorder="1" applyAlignment="1">
      <alignment horizontal="center" vertical="center" wrapText="1"/>
    </xf>
    <xf numFmtId="44" fontId="29" fillId="0" borderId="170" xfId="50" applyNumberFormat="1" applyFont="1" applyBorder="1" applyAlignment="1">
      <alignment horizontal="center" vertical="center" wrapText="1"/>
    </xf>
    <xf numFmtId="166" fontId="29" fillId="0" borderId="170" xfId="50" applyFont="1" applyBorder="1" applyAlignment="1">
      <alignment horizontal="center" vertical="center" wrapText="1"/>
    </xf>
    <xf numFmtId="0" fontId="29" fillId="0" borderId="134" xfId="50" applyNumberFormat="1" applyFont="1" applyFill="1" applyBorder="1" applyAlignment="1">
      <alignment horizontal="center" vertical="center" wrapText="1"/>
    </xf>
    <xf numFmtId="165" fontId="29" fillId="24" borderId="161" xfId="48" applyFont="1" applyFill="1" applyBorder="1" applyAlignment="1">
      <alignment horizontal="center" vertical="center" wrapText="1"/>
    </xf>
    <xf numFmtId="0" fontId="29" fillId="24" borderId="0" xfId="47" applyFont="1" applyFill="1" applyAlignment="1">
      <alignment vertical="center" wrapText="1"/>
    </xf>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EBF7"/>
      <color rgb="FFA9D08E"/>
      <color rgb="FFBDD7E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37</xdr:row>
      <xdr:rowOff>0</xdr:rowOff>
    </xdr:from>
    <xdr:to>
      <xdr:col>1</xdr:col>
      <xdr:colOff>12700</xdr:colOff>
      <xdr:row>37</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39</xdr:row>
      <xdr:rowOff>0</xdr:rowOff>
    </xdr:from>
    <xdr:to>
      <xdr:col>8</xdr:col>
      <xdr:colOff>50800</xdr:colOff>
      <xdr:row>39</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50</xdr:row>
      <xdr:rowOff>0</xdr:rowOff>
    </xdr:from>
    <xdr:to>
      <xdr:col>1</xdr:col>
      <xdr:colOff>12700</xdr:colOff>
      <xdr:row>50</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52</xdr:row>
      <xdr:rowOff>0</xdr:rowOff>
    </xdr:from>
    <xdr:to>
      <xdr:col>8</xdr:col>
      <xdr:colOff>50800</xdr:colOff>
      <xdr:row>52</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view="pageBreakPreview" zoomScale="90" zoomScaleNormal="90" zoomScaleSheetLayoutView="90" workbookViewId="0">
      <selection activeCell="B5" sqref="B5"/>
    </sheetView>
  </sheetViews>
  <sheetFormatPr defaultColWidth="9.140625" defaultRowHeight="12.75" x14ac:dyDescent="0.2"/>
  <cols>
    <col min="1" max="1" width="33.42578125" style="52" customWidth="1"/>
    <col min="2" max="2" width="98.5703125" style="75" customWidth="1"/>
    <col min="3" max="9" width="9.140625" style="75"/>
    <col min="10" max="10" width="15.85546875" style="75" customWidth="1"/>
    <col min="11" max="16384" width="9.140625" style="75"/>
  </cols>
  <sheetData>
    <row r="1" spans="1:2" ht="12.75" customHeight="1" x14ac:dyDescent="0.2">
      <c r="A1" s="619" t="s">
        <v>145</v>
      </c>
      <c r="B1" s="620"/>
    </row>
    <row r="2" spans="1:2" ht="13.5" thickBot="1" x14ac:dyDescent="0.25">
      <c r="A2" s="621"/>
      <c r="B2" s="622"/>
    </row>
    <row r="3" spans="1:2" ht="121.5" x14ac:dyDescent="0.2">
      <c r="A3" s="623" t="s">
        <v>142</v>
      </c>
      <c r="B3" s="83" t="s">
        <v>212</v>
      </c>
    </row>
    <row r="4" spans="1:2" ht="30" x14ac:dyDescent="0.2">
      <c r="A4" s="624"/>
      <c r="B4" s="83" t="s">
        <v>183</v>
      </c>
    </row>
    <row r="5" spans="1:2" ht="61.5" x14ac:dyDescent="0.2">
      <c r="A5" s="624"/>
      <c r="B5" s="83" t="s">
        <v>502</v>
      </c>
    </row>
    <row r="6" spans="1:2" ht="45" x14ac:dyDescent="0.2">
      <c r="A6" s="624"/>
      <c r="B6" s="83" t="s">
        <v>184</v>
      </c>
    </row>
    <row r="7" spans="1:2" ht="15.75" customHeight="1" x14ac:dyDescent="0.2">
      <c r="A7" s="625" t="s">
        <v>195</v>
      </c>
      <c r="B7" s="626" t="s">
        <v>312</v>
      </c>
    </row>
    <row r="8" spans="1:2" ht="45" customHeight="1" x14ac:dyDescent="0.2">
      <c r="A8" s="623"/>
      <c r="B8" s="626"/>
    </row>
    <row r="9" spans="1:2" ht="31.5" x14ac:dyDescent="0.2">
      <c r="A9" s="573" t="s">
        <v>196</v>
      </c>
      <c r="B9" s="574" t="s">
        <v>197</v>
      </c>
    </row>
    <row r="10" spans="1:2" ht="45" x14ac:dyDescent="0.2">
      <c r="A10" s="573" t="s">
        <v>198</v>
      </c>
      <c r="B10" s="574" t="s">
        <v>199</v>
      </c>
    </row>
    <row r="11" spans="1:2" ht="165.75" x14ac:dyDescent="0.2">
      <c r="A11" s="573" t="s">
        <v>200</v>
      </c>
      <c r="B11" s="574" t="s">
        <v>201</v>
      </c>
    </row>
    <row r="12" spans="1:2" ht="45" x14ac:dyDescent="0.2">
      <c r="A12" s="573" t="s">
        <v>189</v>
      </c>
      <c r="B12" s="574" t="s">
        <v>190</v>
      </c>
    </row>
    <row r="13" spans="1:2" ht="38.25" customHeight="1" x14ac:dyDescent="0.2">
      <c r="A13" s="627" t="s">
        <v>2</v>
      </c>
      <c r="B13" s="628" t="s">
        <v>202</v>
      </c>
    </row>
    <row r="14" spans="1:2" ht="45.75" customHeight="1" x14ac:dyDescent="0.2">
      <c r="A14" s="627"/>
      <c r="B14" s="629"/>
    </row>
    <row r="15" spans="1:2" ht="31.5" x14ac:dyDescent="0.2">
      <c r="A15" s="84" t="s">
        <v>209</v>
      </c>
      <c r="B15" s="575" t="s">
        <v>203</v>
      </c>
    </row>
    <row r="16" spans="1:2" ht="45" x14ac:dyDescent="0.2">
      <c r="A16" s="85" t="s">
        <v>185</v>
      </c>
      <c r="B16" s="576" t="s">
        <v>186</v>
      </c>
    </row>
    <row r="17" spans="1:10" ht="90.75" x14ac:dyDescent="0.2">
      <c r="A17" s="86" t="s">
        <v>137</v>
      </c>
      <c r="B17" s="577" t="s">
        <v>204</v>
      </c>
    </row>
    <row r="18" spans="1:10" ht="60.75" x14ac:dyDescent="0.2">
      <c r="A18" s="578" t="s">
        <v>187</v>
      </c>
      <c r="B18" s="579" t="s">
        <v>205</v>
      </c>
      <c r="C18" s="51"/>
      <c r="D18" s="51"/>
      <c r="E18" s="51"/>
      <c r="F18" s="51"/>
      <c r="G18" s="51"/>
      <c r="H18" s="51"/>
      <c r="I18" s="76"/>
      <c r="J18" s="76"/>
    </row>
    <row r="19" spans="1:10" ht="30" x14ac:dyDescent="0.2">
      <c r="A19" s="573" t="s">
        <v>136</v>
      </c>
      <c r="B19" s="580" t="s">
        <v>206</v>
      </c>
    </row>
    <row r="20" spans="1:10" ht="90.75" x14ac:dyDescent="0.2">
      <c r="A20" s="573" t="s">
        <v>125</v>
      </c>
      <c r="B20" s="581" t="s">
        <v>210</v>
      </c>
    </row>
    <row r="21" spans="1:10" ht="150" x14ac:dyDescent="0.2">
      <c r="A21" s="582" t="s">
        <v>138</v>
      </c>
      <c r="B21" s="583" t="s">
        <v>207</v>
      </c>
    </row>
    <row r="22" spans="1:10" ht="135" x14ac:dyDescent="0.2">
      <c r="A22" s="584" t="s">
        <v>139</v>
      </c>
      <c r="B22" s="585" t="s">
        <v>141</v>
      </c>
    </row>
    <row r="23" spans="1:10" ht="150" x14ac:dyDescent="0.2">
      <c r="A23" s="584" t="s">
        <v>144</v>
      </c>
      <c r="B23" s="585" t="s">
        <v>143</v>
      </c>
    </row>
    <row r="24" spans="1:10" ht="47.25" x14ac:dyDescent="0.2">
      <c r="A24" s="582" t="s">
        <v>208</v>
      </c>
      <c r="B24" s="586" t="s">
        <v>211</v>
      </c>
    </row>
    <row r="25" spans="1:10" x14ac:dyDescent="0.2">
      <c r="A25" s="611" t="s">
        <v>188</v>
      </c>
      <c r="B25" s="612"/>
    </row>
    <row r="26" spans="1:10" x14ac:dyDescent="0.2">
      <c r="A26" s="613"/>
      <c r="B26" s="614"/>
    </row>
    <row r="27" spans="1:10" x14ac:dyDescent="0.2">
      <c r="A27" s="615" t="s">
        <v>317</v>
      </c>
      <c r="B27" s="616"/>
    </row>
    <row r="28" spans="1:10" x14ac:dyDescent="0.2">
      <c r="A28" s="615"/>
      <c r="B28" s="616"/>
    </row>
    <row r="29" spans="1:10" x14ac:dyDescent="0.2">
      <c r="A29" s="615"/>
      <c r="B29" s="616"/>
    </row>
    <row r="30" spans="1:10" x14ac:dyDescent="0.2">
      <c r="A30" s="615"/>
      <c r="B30" s="616"/>
    </row>
    <row r="31" spans="1:10" x14ac:dyDescent="0.2">
      <c r="A31" s="615"/>
      <c r="B31" s="616"/>
    </row>
    <row r="32" spans="1:10" x14ac:dyDescent="0.2">
      <c r="A32" s="615"/>
      <c r="B32" s="616"/>
    </row>
    <row r="33" spans="1:2" x14ac:dyDescent="0.2">
      <c r="A33" s="615"/>
      <c r="B33" s="616"/>
    </row>
    <row r="34" spans="1:2" x14ac:dyDescent="0.2">
      <c r="A34" s="615"/>
      <c r="B34" s="616"/>
    </row>
    <row r="35" spans="1:2" x14ac:dyDescent="0.2">
      <c r="A35" s="615"/>
      <c r="B35" s="616"/>
    </row>
    <row r="36" spans="1:2" x14ac:dyDescent="0.2">
      <c r="A36" s="615"/>
      <c r="B36" s="616"/>
    </row>
    <row r="37" spans="1:2" x14ac:dyDescent="0.2">
      <c r="A37" s="615"/>
      <c r="B37" s="616"/>
    </row>
    <row r="38" spans="1:2" ht="13.5" thickBot="1" x14ac:dyDescent="0.25">
      <c r="A38" s="617"/>
      <c r="B38" s="618"/>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Elaborada pela SEAPL</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I109"/>
  <sheetViews>
    <sheetView view="pageBreakPreview" topLeftCell="A13" zoomScale="120" zoomScaleNormal="110" zoomScaleSheetLayoutView="120" workbookViewId="0">
      <selection activeCell="I38" sqref="I38"/>
    </sheetView>
  </sheetViews>
  <sheetFormatPr defaultRowHeight="12.75" x14ac:dyDescent="0.2"/>
  <cols>
    <col min="1" max="1" width="62.28515625" style="48" customWidth="1"/>
    <col min="2" max="2" width="12.7109375" style="48" customWidth="1"/>
    <col min="3" max="3" width="10.7109375" style="48" customWidth="1"/>
    <col min="4" max="4" width="8.42578125" style="48" bestFit="1" customWidth="1"/>
    <col min="5" max="5" width="10.7109375" style="48" customWidth="1"/>
    <col min="6" max="6" width="8.42578125" style="48" bestFit="1" customWidth="1"/>
    <col min="7" max="7" width="10.7109375" style="48" customWidth="1"/>
    <col min="8" max="8" width="8.42578125" style="48" bestFit="1" customWidth="1"/>
    <col min="9" max="9" width="11.5703125" style="48" customWidth="1"/>
    <col min="10" max="254" width="9.140625" style="48"/>
    <col min="255" max="255" width="13.5703125" style="48" customWidth="1"/>
    <col min="256" max="256" width="12.85546875" style="48" customWidth="1"/>
    <col min="257" max="257" width="15" style="48" customWidth="1"/>
    <col min="258" max="259" width="13.42578125" style="48" customWidth="1"/>
    <col min="260" max="510" width="9.140625" style="48"/>
    <col min="511" max="511" width="13.5703125" style="48" customWidth="1"/>
    <col min="512" max="512" width="12.85546875" style="48" customWidth="1"/>
    <col min="513" max="513" width="15" style="48" customWidth="1"/>
    <col min="514" max="515" width="13.42578125" style="48" customWidth="1"/>
    <col min="516" max="766" width="9.140625" style="48"/>
    <col min="767" max="767" width="13.5703125" style="48" customWidth="1"/>
    <col min="768" max="768" width="12.85546875" style="48" customWidth="1"/>
    <col min="769" max="769" width="15" style="48" customWidth="1"/>
    <col min="770" max="771" width="13.42578125" style="48" customWidth="1"/>
    <col min="772" max="1022" width="9.140625" style="48"/>
    <col min="1023" max="1023" width="13.5703125" style="48" customWidth="1"/>
    <col min="1024" max="1024" width="12.85546875" style="48" customWidth="1"/>
    <col min="1025" max="1025" width="15" style="48" customWidth="1"/>
    <col min="1026" max="1027" width="13.42578125" style="48" customWidth="1"/>
    <col min="1028" max="1278" width="9.140625" style="48"/>
    <col min="1279" max="1279" width="13.5703125" style="48" customWidth="1"/>
    <col min="1280" max="1280" width="12.85546875" style="48" customWidth="1"/>
    <col min="1281" max="1281" width="15" style="48" customWidth="1"/>
    <col min="1282" max="1283" width="13.42578125" style="48" customWidth="1"/>
    <col min="1284" max="1534" width="9.140625" style="48"/>
    <col min="1535" max="1535" width="13.5703125" style="48" customWidth="1"/>
    <col min="1536" max="1536" width="12.85546875" style="48" customWidth="1"/>
    <col min="1537" max="1537" width="15" style="48" customWidth="1"/>
    <col min="1538" max="1539" width="13.42578125" style="48" customWidth="1"/>
    <col min="1540" max="1790" width="9.140625" style="48"/>
    <col min="1791" max="1791" width="13.5703125" style="48" customWidth="1"/>
    <col min="1792" max="1792" width="12.85546875" style="48" customWidth="1"/>
    <col min="1793" max="1793" width="15" style="48" customWidth="1"/>
    <col min="1794" max="1795" width="13.42578125" style="48" customWidth="1"/>
    <col min="1796" max="2046" width="9.140625" style="48"/>
    <col min="2047" max="2047" width="13.5703125" style="48" customWidth="1"/>
    <col min="2048" max="2048" width="12.85546875" style="48" customWidth="1"/>
    <col min="2049" max="2049" width="15" style="48" customWidth="1"/>
    <col min="2050" max="2051" width="13.42578125" style="48" customWidth="1"/>
    <col min="2052" max="2302" width="9.140625" style="48"/>
    <col min="2303" max="2303" width="13.5703125" style="48" customWidth="1"/>
    <col min="2304" max="2304" width="12.85546875" style="48" customWidth="1"/>
    <col min="2305" max="2305" width="15" style="48" customWidth="1"/>
    <col min="2306" max="2307" width="13.42578125" style="48" customWidth="1"/>
    <col min="2308" max="2558" width="9.140625" style="48"/>
    <col min="2559" max="2559" width="13.5703125" style="48" customWidth="1"/>
    <col min="2560" max="2560" width="12.85546875" style="48" customWidth="1"/>
    <col min="2561" max="2561" width="15" style="48" customWidth="1"/>
    <col min="2562" max="2563" width="13.42578125" style="48" customWidth="1"/>
    <col min="2564" max="2814" width="9.140625" style="48"/>
    <col min="2815" max="2815" width="13.5703125" style="48" customWidth="1"/>
    <col min="2816" max="2816" width="12.85546875" style="48" customWidth="1"/>
    <col min="2817" max="2817" width="15" style="48" customWidth="1"/>
    <col min="2818" max="2819" width="13.42578125" style="48" customWidth="1"/>
    <col min="2820" max="3070" width="9.140625" style="48"/>
    <col min="3071" max="3071" width="13.5703125" style="48" customWidth="1"/>
    <col min="3072" max="3072" width="12.85546875" style="48" customWidth="1"/>
    <col min="3073" max="3073" width="15" style="48" customWidth="1"/>
    <col min="3074" max="3075" width="13.42578125" style="48" customWidth="1"/>
    <col min="3076" max="3326" width="9.140625" style="48"/>
    <col min="3327" max="3327" width="13.5703125" style="48" customWidth="1"/>
    <col min="3328" max="3328" width="12.85546875" style="48" customWidth="1"/>
    <col min="3329" max="3329" width="15" style="48" customWidth="1"/>
    <col min="3330" max="3331" width="13.42578125" style="48" customWidth="1"/>
    <col min="3332" max="3582" width="9.140625" style="48"/>
    <col min="3583" max="3583" width="13.5703125" style="48" customWidth="1"/>
    <col min="3584" max="3584" width="12.85546875" style="48" customWidth="1"/>
    <col min="3585" max="3585" width="15" style="48" customWidth="1"/>
    <col min="3586" max="3587" width="13.42578125" style="48" customWidth="1"/>
    <col min="3588" max="3838" width="9.140625" style="48"/>
    <col min="3839" max="3839" width="13.5703125" style="48" customWidth="1"/>
    <col min="3840" max="3840" width="12.85546875" style="48" customWidth="1"/>
    <col min="3841" max="3841" width="15" style="48" customWidth="1"/>
    <col min="3842" max="3843" width="13.42578125" style="48" customWidth="1"/>
    <col min="3844" max="4094" width="9.140625" style="48"/>
    <col min="4095" max="4095" width="13.5703125" style="48" customWidth="1"/>
    <col min="4096" max="4096" width="12.85546875" style="48" customWidth="1"/>
    <col min="4097" max="4097" width="15" style="48" customWidth="1"/>
    <col min="4098" max="4099" width="13.42578125" style="48" customWidth="1"/>
    <col min="4100" max="4350" width="9.140625" style="48"/>
    <col min="4351" max="4351" width="13.5703125" style="48" customWidth="1"/>
    <col min="4352" max="4352" width="12.85546875" style="48" customWidth="1"/>
    <col min="4353" max="4353" width="15" style="48" customWidth="1"/>
    <col min="4354" max="4355" width="13.42578125" style="48" customWidth="1"/>
    <col min="4356" max="4606" width="9.140625" style="48"/>
    <col min="4607" max="4607" width="13.5703125" style="48" customWidth="1"/>
    <col min="4608" max="4608" width="12.85546875" style="48" customWidth="1"/>
    <col min="4609" max="4609" width="15" style="48" customWidth="1"/>
    <col min="4610" max="4611" width="13.42578125" style="48" customWidth="1"/>
    <col min="4612" max="4862" width="9.140625" style="48"/>
    <col min="4863" max="4863" width="13.5703125" style="48" customWidth="1"/>
    <col min="4864" max="4864" width="12.85546875" style="48" customWidth="1"/>
    <col min="4865" max="4865" width="15" style="48" customWidth="1"/>
    <col min="4866" max="4867" width="13.42578125" style="48" customWidth="1"/>
    <col min="4868" max="5118" width="9.140625" style="48"/>
    <col min="5119" max="5119" width="13.5703125" style="48" customWidth="1"/>
    <col min="5120" max="5120" width="12.85546875" style="48" customWidth="1"/>
    <col min="5121" max="5121" width="15" style="48" customWidth="1"/>
    <col min="5122" max="5123" width="13.42578125" style="48" customWidth="1"/>
    <col min="5124" max="5374" width="9.140625" style="48"/>
    <col min="5375" max="5375" width="13.5703125" style="48" customWidth="1"/>
    <col min="5376" max="5376" width="12.85546875" style="48" customWidth="1"/>
    <col min="5377" max="5377" width="15" style="48" customWidth="1"/>
    <col min="5378" max="5379" width="13.42578125" style="48" customWidth="1"/>
    <col min="5380" max="5630" width="9.140625" style="48"/>
    <col min="5631" max="5631" width="13.5703125" style="48" customWidth="1"/>
    <col min="5632" max="5632" width="12.85546875" style="48" customWidth="1"/>
    <col min="5633" max="5633" width="15" style="48" customWidth="1"/>
    <col min="5634" max="5635" width="13.42578125" style="48" customWidth="1"/>
    <col min="5636" max="5886" width="9.140625" style="48"/>
    <col min="5887" max="5887" width="13.5703125" style="48" customWidth="1"/>
    <col min="5888" max="5888" width="12.85546875" style="48" customWidth="1"/>
    <col min="5889" max="5889" width="15" style="48" customWidth="1"/>
    <col min="5890" max="5891" width="13.42578125" style="48" customWidth="1"/>
    <col min="5892" max="6142" width="9.140625" style="48"/>
    <col min="6143" max="6143" width="13.5703125" style="48" customWidth="1"/>
    <col min="6144" max="6144" width="12.85546875" style="48" customWidth="1"/>
    <col min="6145" max="6145" width="15" style="48" customWidth="1"/>
    <col min="6146" max="6147" width="13.42578125" style="48" customWidth="1"/>
    <col min="6148" max="6398" width="9.140625" style="48"/>
    <col min="6399" max="6399" width="13.5703125" style="48" customWidth="1"/>
    <col min="6400" max="6400" width="12.85546875" style="48" customWidth="1"/>
    <col min="6401" max="6401" width="15" style="48" customWidth="1"/>
    <col min="6402" max="6403" width="13.42578125" style="48" customWidth="1"/>
    <col min="6404" max="6654" width="9.140625" style="48"/>
    <col min="6655" max="6655" width="13.5703125" style="48" customWidth="1"/>
    <col min="6656" max="6656" width="12.85546875" style="48" customWidth="1"/>
    <col min="6657" max="6657" width="15" style="48" customWidth="1"/>
    <col min="6658" max="6659" width="13.42578125" style="48" customWidth="1"/>
    <col min="6660" max="6910" width="9.140625" style="48"/>
    <col min="6911" max="6911" width="13.5703125" style="48" customWidth="1"/>
    <col min="6912" max="6912" width="12.85546875" style="48" customWidth="1"/>
    <col min="6913" max="6913" width="15" style="48" customWidth="1"/>
    <col min="6914" max="6915" width="13.42578125" style="48" customWidth="1"/>
    <col min="6916" max="7166" width="9.140625" style="48"/>
    <col min="7167" max="7167" width="13.5703125" style="48" customWidth="1"/>
    <col min="7168" max="7168" width="12.85546875" style="48" customWidth="1"/>
    <col min="7169" max="7169" width="15" style="48" customWidth="1"/>
    <col min="7170" max="7171" width="13.42578125" style="48" customWidth="1"/>
    <col min="7172" max="7422" width="9.140625" style="48"/>
    <col min="7423" max="7423" width="13.5703125" style="48" customWidth="1"/>
    <col min="7424" max="7424" width="12.85546875" style="48" customWidth="1"/>
    <col min="7425" max="7425" width="15" style="48" customWidth="1"/>
    <col min="7426" max="7427" width="13.42578125" style="48" customWidth="1"/>
    <col min="7428" max="7678" width="9.140625" style="48"/>
    <col min="7679" max="7679" width="13.5703125" style="48" customWidth="1"/>
    <col min="7680" max="7680" width="12.85546875" style="48" customWidth="1"/>
    <col min="7681" max="7681" width="15" style="48" customWidth="1"/>
    <col min="7682" max="7683" width="13.42578125" style="48" customWidth="1"/>
    <col min="7684" max="7934" width="9.140625" style="48"/>
    <col min="7935" max="7935" width="13.5703125" style="48" customWidth="1"/>
    <col min="7936" max="7936" width="12.85546875" style="48" customWidth="1"/>
    <col min="7937" max="7937" width="15" style="48" customWidth="1"/>
    <col min="7938" max="7939" width="13.42578125" style="48" customWidth="1"/>
    <col min="7940" max="8190" width="9.140625" style="48"/>
    <col min="8191" max="8191" width="13.5703125" style="48" customWidth="1"/>
    <col min="8192" max="8192" width="12.85546875" style="48" customWidth="1"/>
    <col min="8193" max="8193" width="15" style="48" customWidth="1"/>
    <col min="8194" max="8195" width="13.42578125" style="48" customWidth="1"/>
    <col min="8196" max="8446" width="9.140625" style="48"/>
    <col min="8447" max="8447" width="13.5703125" style="48" customWidth="1"/>
    <col min="8448" max="8448" width="12.85546875" style="48" customWidth="1"/>
    <col min="8449" max="8449" width="15" style="48" customWidth="1"/>
    <col min="8450" max="8451" width="13.42578125" style="48" customWidth="1"/>
    <col min="8452" max="8702" width="9.140625" style="48"/>
    <col min="8703" max="8703" width="13.5703125" style="48" customWidth="1"/>
    <col min="8704" max="8704" width="12.85546875" style="48" customWidth="1"/>
    <col min="8705" max="8705" width="15" style="48" customWidth="1"/>
    <col min="8706" max="8707" width="13.42578125" style="48" customWidth="1"/>
    <col min="8708" max="8958" width="9.140625" style="48"/>
    <col min="8959" max="8959" width="13.5703125" style="48" customWidth="1"/>
    <col min="8960" max="8960" width="12.85546875" style="48" customWidth="1"/>
    <col min="8961" max="8961" width="15" style="48" customWidth="1"/>
    <col min="8962" max="8963" width="13.42578125" style="48" customWidth="1"/>
    <col min="8964" max="9214" width="9.140625" style="48"/>
    <col min="9215" max="9215" width="13.5703125" style="48" customWidth="1"/>
    <col min="9216" max="9216" width="12.85546875" style="48" customWidth="1"/>
    <col min="9217" max="9217" width="15" style="48" customWidth="1"/>
    <col min="9218" max="9219" width="13.42578125" style="48" customWidth="1"/>
    <col min="9220" max="9470" width="9.140625" style="48"/>
    <col min="9471" max="9471" width="13.5703125" style="48" customWidth="1"/>
    <col min="9472" max="9472" width="12.85546875" style="48" customWidth="1"/>
    <col min="9473" max="9473" width="15" style="48" customWidth="1"/>
    <col min="9474" max="9475" width="13.42578125" style="48" customWidth="1"/>
    <col min="9476" max="9726" width="9.140625" style="48"/>
    <col min="9727" max="9727" width="13.5703125" style="48" customWidth="1"/>
    <col min="9728" max="9728" width="12.85546875" style="48" customWidth="1"/>
    <col min="9729" max="9729" width="15" style="48" customWidth="1"/>
    <col min="9730" max="9731" width="13.42578125" style="48" customWidth="1"/>
    <col min="9732" max="9982" width="9.140625" style="48"/>
    <col min="9983" max="9983" width="13.5703125" style="48" customWidth="1"/>
    <col min="9984" max="9984" width="12.85546875" style="48" customWidth="1"/>
    <col min="9985" max="9985" width="15" style="48" customWidth="1"/>
    <col min="9986" max="9987" width="13.42578125" style="48" customWidth="1"/>
    <col min="9988" max="10238" width="9.140625" style="48"/>
    <col min="10239" max="10239" width="13.5703125" style="48" customWidth="1"/>
    <col min="10240" max="10240" width="12.85546875" style="48" customWidth="1"/>
    <col min="10241" max="10241" width="15" style="48" customWidth="1"/>
    <col min="10242" max="10243" width="13.42578125" style="48" customWidth="1"/>
    <col min="10244" max="10494" width="9.140625" style="48"/>
    <col min="10495" max="10495" width="13.5703125" style="48" customWidth="1"/>
    <col min="10496" max="10496" width="12.85546875" style="48" customWidth="1"/>
    <col min="10497" max="10497" width="15" style="48" customWidth="1"/>
    <col min="10498" max="10499" width="13.42578125" style="48" customWidth="1"/>
    <col min="10500" max="10750" width="9.140625" style="48"/>
    <col min="10751" max="10751" width="13.5703125" style="48" customWidth="1"/>
    <col min="10752" max="10752" width="12.85546875" style="48" customWidth="1"/>
    <col min="10753" max="10753" width="15" style="48" customWidth="1"/>
    <col min="10754" max="10755" width="13.42578125" style="48" customWidth="1"/>
    <col min="10756" max="11006" width="9.140625" style="48"/>
    <col min="11007" max="11007" width="13.5703125" style="48" customWidth="1"/>
    <col min="11008" max="11008" width="12.85546875" style="48" customWidth="1"/>
    <col min="11009" max="11009" width="15" style="48" customWidth="1"/>
    <col min="11010" max="11011" width="13.42578125" style="48" customWidth="1"/>
    <col min="11012" max="11262" width="9.140625" style="48"/>
    <col min="11263" max="11263" width="13.5703125" style="48" customWidth="1"/>
    <col min="11264" max="11264" width="12.85546875" style="48" customWidth="1"/>
    <col min="11265" max="11265" width="15" style="48" customWidth="1"/>
    <col min="11266" max="11267" width="13.42578125" style="48" customWidth="1"/>
    <col min="11268" max="11518" width="9.140625" style="48"/>
    <col min="11519" max="11519" width="13.5703125" style="48" customWidth="1"/>
    <col min="11520" max="11520" width="12.85546875" style="48" customWidth="1"/>
    <col min="11521" max="11521" width="15" style="48" customWidth="1"/>
    <col min="11522" max="11523" width="13.42578125" style="48" customWidth="1"/>
    <col min="11524" max="11774" width="9.140625" style="48"/>
    <col min="11775" max="11775" width="13.5703125" style="48" customWidth="1"/>
    <col min="11776" max="11776" width="12.85546875" style="48" customWidth="1"/>
    <col min="11777" max="11777" width="15" style="48" customWidth="1"/>
    <col min="11778" max="11779" width="13.42578125" style="48" customWidth="1"/>
    <col min="11780" max="12030" width="9.140625" style="48"/>
    <col min="12031" max="12031" width="13.5703125" style="48" customWidth="1"/>
    <col min="12032" max="12032" width="12.85546875" style="48" customWidth="1"/>
    <col min="12033" max="12033" width="15" style="48" customWidth="1"/>
    <col min="12034" max="12035" width="13.42578125" style="48" customWidth="1"/>
    <col min="12036" max="12286" width="9.140625" style="48"/>
    <col min="12287" max="12287" width="13.5703125" style="48" customWidth="1"/>
    <col min="12288" max="12288" width="12.85546875" style="48" customWidth="1"/>
    <col min="12289" max="12289" width="15" style="48" customWidth="1"/>
    <col min="12290" max="12291" width="13.42578125" style="48" customWidth="1"/>
    <col min="12292" max="12542" width="9.140625" style="48"/>
    <col min="12543" max="12543" width="13.5703125" style="48" customWidth="1"/>
    <col min="12544" max="12544" width="12.85546875" style="48" customWidth="1"/>
    <col min="12545" max="12545" width="15" style="48" customWidth="1"/>
    <col min="12546" max="12547" width="13.42578125" style="48" customWidth="1"/>
    <col min="12548" max="12798" width="9.140625" style="48"/>
    <col min="12799" max="12799" width="13.5703125" style="48" customWidth="1"/>
    <col min="12800" max="12800" width="12.85546875" style="48" customWidth="1"/>
    <col min="12801" max="12801" width="15" style="48" customWidth="1"/>
    <col min="12802" max="12803" width="13.42578125" style="48" customWidth="1"/>
    <col min="12804" max="13054" width="9.140625" style="48"/>
    <col min="13055" max="13055" width="13.5703125" style="48" customWidth="1"/>
    <col min="13056" max="13056" width="12.85546875" style="48" customWidth="1"/>
    <col min="13057" max="13057" width="15" style="48" customWidth="1"/>
    <col min="13058" max="13059" width="13.42578125" style="48" customWidth="1"/>
    <col min="13060" max="13310" width="9.140625" style="48"/>
    <col min="13311" max="13311" width="13.5703125" style="48" customWidth="1"/>
    <col min="13312" max="13312" width="12.85546875" style="48" customWidth="1"/>
    <col min="13313" max="13313" width="15" style="48" customWidth="1"/>
    <col min="13314" max="13315" width="13.42578125" style="48" customWidth="1"/>
    <col min="13316" max="13566" width="9.140625" style="48"/>
    <col min="13567" max="13567" width="13.5703125" style="48" customWidth="1"/>
    <col min="13568" max="13568" width="12.85546875" style="48" customWidth="1"/>
    <col min="13569" max="13569" width="15" style="48" customWidth="1"/>
    <col min="13570" max="13571" width="13.42578125" style="48" customWidth="1"/>
    <col min="13572" max="13822" width="9.140625" style="48"/>
    <col min="13823" max="13823" width="13.5703125" style="48" customWidth="1"/>
    <col min="13824" max="13824" width="12.85546875" style="48" customWidth="1"/>
    <col min="13825" max="13825" width="15" style="48" customWidth="1"/>
    <col min="13826" max="13827" width="13.42578125" style="48" customWidth="1"/>
    <col min="13828" max="14078" width="9.140625" style="48"/>
    <col min="14079" max="14079" width="13.5703125" style="48" customWidth="1"/>
    <col min="14080" max="14080" width="12.85546875" style="48" customWidth="1"/>
    <col min="14081" max="14081" width="15" style="48" customWidth="1"/>
    <col min="14082" max="14083" width="13.42578125" style="48" customWidth="1"/>
    <col min="14084" max="14334" width="9.140625" style="48"/>
    <col min="14335" max="14335" width="13.5703125" style="48" customWidth="1"/>
    <col min="14336" max="14336" width="12.85546875" style="48" customWidth="1"/>
    <col min="14337" max="14337" width="15" style="48" customWidth="1"/>
    <col min="14338" max="14339" width="13.42578125" style="48" customWidth="1"/>
    <col min="14340" max="14590" width="9.140625" style="48"/>
    <col min="14591" max="14591" width="13.5703125" style="48" customWidth="1"/>
    <col min="14592" max="14592" width="12.85546875" style="48" customWidth="1"/>
    <col min="14593" max="14593" width="15" style="48" customWidth="1"/>
    <col min="14594" max="14595" width="13.42578125" style="48" customWidth="1"/>
    <col min="14596" max="14846" width="9.140625" style="48"/>
    <col min="14847" max="14847" width="13.5703125" style="48" customWidth="1"/>
    <col min="14848" max="14848" width="12.85546875" style="48" customWidth="1"/>
    <col min="14849" max="14849" width="15" style="48" customWidth="1"/>
    <col min="14850" max="14851" width="13.42578125" style="48" customWidth="1"/>
    <col min="14852" max="15102" width="9.140625" style="48"/>
    <col min="15103" max="15103" width="13.5703125" style="48" customWidth="1"/>
    <col min="15104" max="15104" width="12.85546875" style="48" customWidth="1"/>
    <col min="15105" max="15105" width="15" style="48" customWidth="1"/>
    <col min="15106" max="15107" width="13.42578125" style="48" customWidth="1"/>
    <col min="15108" max="15358" width="9.140625" style="48"/>
    <col min="15359" max="15359" width="13.5703125" style="48" customWidth="1"/>
    <col min="15360" max="15360" width="12.85546875" style="48" customWidth="1"/>
    <col min="15361" max="15361" width="15" style="48" customWidth="1"/>
    <col min="15362" max="15363" width="13.42578125" style="48" customWidth="1"/>
    <col min="15364" max="15614" width="9.140625" style="48"/>
    <col min="15615" max="15615" width="13.5703125" style="48" customWidth="1"/>
    <col min="15616" max="15616" width="12.85546875" style="48" customWidth="1"/>
    <col min="15617" max="15617" width="15" style="48" customWidth="1"/>
    <col min="15618" max="15619" width="13.42578125" style="48" customWidth="1"/>
    <col min="15620" max="15870" width="9.140625" style="48"/>
    <col min="15871" max="15871" width="13.5703125" style="48" customWidth="1"/>
    <col min="15872" max="15872" width="12.85546875" style="48" customWidth="1"/>
    <col min="15873" max="15873" width="15" style="48" customWidth="1"/>
    <col min="15874" max="15875" width="13.42578125" style="48" customWidth="1"/>
    <col min="15876" max="16126" width="9.140625" style="48"/>
    <col min="16127" max="16127" width="13.5703125" style="48" customWidth="1"/>
    <col min="16128" max="16128" width="12.85546875" style="48" customWidth="1"/>
    <col min="16129" max="16129" width="15" style="48" customWidth="1"/>
    <col min="16130" max="16131" width="13.42578125" style="48" customWidth="1"/>
    <col min="16132" max="16384" width="9.140625" style="48"/>
  </cols>
  <sheetData>
    <row r="1" spans="1:9" ht="16.5" x14ac:dyDescent="0.2">
      <c r="A1" s="649" t="s">
        <v>446</v>
      </c>
      <c r="B1" s="650"/>
      <c r="C1" s="650"/>
      <c r="D1" s="650"/>
      <c r="E1" s="650"/>
      <c r="F1" s="650"/>
      <c r="G1" s="650"/>
      <c r="H1" s="650"/>
      <c r="I1" s="651"/>
    </row>
    <row r="2" spans="1:9" s="49" customFormat="1" ht="16.5" x14ac:dyDescent="0.2">
      <c r="A2" s="652" t="s">
        <v>219</v>
      </c>
      <c r="B2" s="653"/>
      <c r="C2" s="653"/>
      <c r="D2" s="653"/>
      <c r="E2" s="653"/>
      <c r="F2" s="653"/>
      <c r="G2" s="653"/>
      <c r="H2" s="653"/>
      <c r="I2" s="654"/>
    </row>
    <row r="3" spans="1:9" s="49" customFormat="1" ht="13.5" thickBot="1" x14ac:dyDescent="0.25">
      <c r="A3" s="655" t="s">
        <v>447</v>
      </c>
      <c r="B3" s="656"/>
      <c r="C3" s="656"/>
      <c r="D3" s="656"/>
      <c r="E3" s="656"/>
      <c r="F3" s="656"/>
      <c r="G3" s="656"/>
      <c r="H3" s="656"/>
      <c r="I3" s="657"/>
    </row>
    <row r="4" spans="1:9" ht="13.5" thickBot="1" x14ac:dyDescent="0.25">
      <c r="A4" s="658"/>
      <c r="B4" s="659"/>
      <c r="C4" s="659"/>
      <c r="D4" s="659"/>
      <c r="E4" s="659"/>
      <c r="F4" s="659"/>
      <c r="G4" s="659"/>
      <c r="H4" s="659"/>
      <c r="I4" s="660"/>
    </row>
    <row r="5" spans="1:9" s="122" customFormat="1" ht="12.75" customHeight="1" x14ac:dyDescent="0.2">
      <c r="A5" s="631" t="s">
        <v>380</v>
      </c>
      <c r="B5" s="633" t="s">
        <v>352</v>
      </c>
      <c r="C5" s="635" t="s">
        <v>445</v>
      </c>
      <c r="D5" s="666" t="s">
        <v>389</v>
      </c>
      <c r="E5" s="638"/>
      <c r="F5" s="639" t="s">
        <v>391</v>
      </c>
      <c r="G5" s="640"/>
      <c r="H5" s="637" t="s">
        <v>392</v>
      </c>
      <c r="I5" s="638"/>
    </row>
    <row r="6" spans="1:9" s="122" customFormat="1" x14ac:dyDescent="0.2">
      <c r="A6" s="632"/>
      <c r="B6" s="634"/>
      <c r="C6" s="636"/>
      <c r="D6" s="401" t="s">
        <v>133</v>
      </c>
      <c r="E6" s="402" t="s">
        <v>390</v>
      </c>
      <c r="F6" s="401" t="s">
        <v>133</v>
      </c>
      <c r="G6" s="402" t="s">
        <v>390</v>
      </c>
      <c r="H6" s="403" t="s">
        <v>133</v>
      </c>
      <c r="I6" s="402" t="s">
        <v>390</v>
      </c>
    </row>
    <row r="7" spans="1:9" x14ac:dyDescent="0.2">
      <c r="A7" s="404" t="s">
        <v>289</v>
      </c>
      <c r="B7" s="405">
        <v>6</v>
      </c>
      <c r="C7" s="406">
        <v>0</v>
      </c>
      <c r="D7" s="407">
        <v>4</v>
      </c>
      <c r="E7" s="408">
        <f t="shared" ref="E7:E16" si="0">ROUND((C7*D7)/B7,2)</f>
        <v>0</v>
      </c>
      <c r="F7" s="407">
        <v>2</v>
      </c>
      <c r="G7" s="408">
        <f t="shared" ref="G7:G16" si="1">ROUND((C7*F7)/B7,2)</f>
        <v>0</v>
      </c>
      <c r="H7" s="409">
        <v>4</v>
      </c>
      <c r="I7" s="410">
        <f>ROUND((C7*H7)/B7,2)</f>
        <v>0</v>
      </c>
    </row>
    <row r="8" spans="1:9" x14ac:dyDescent="0.2">
      <c r="A8" s="404" t="s">
        <v>290</v>
      </c>
      <c r="B8" s="405">
        <v>6</v>
      </c>
      <c r="C8" s="406">
        <v>0</v>
      </c>
      <c r="D8" s="407">
        <v>2</v>
      </c>
      <c r="E8" s="408">
        <f t="shared" si="0"/>
        <v>0</v>
      </c>
      <c r="F8" s="407">
        <v>4</v>
      </c>
      <c r="G8" s="408">
        <f t="shared" si="1"/>
        <v>0</v>
      </c>
      <c r="H8" s="409">
        <v>2</v>
      </c>
      <c r="I8" s="410">
        <f t="shared" ref="I8:I37" si="2">ROUND((C8*H8)/B8,2)</f>
        <v>0</v>
      </c>
    </row>
    <row r="9" spans="1:9" x14ac:dyDescent="0.2">
      <c r="A9" s="411" t="s">
        <v>291</v>
      </c>
      <c r="B9" s="405">
        <v>6</v>
      </c>
      <c r="C9" s="406">
        <v>0</v>
      </c>
      <c r="D9" s="407">
        <v>3</v>
      </c>
      <c r="E9" s="408">
        <f t="shared" si="0"/>
        <v>0</v>
      </c>
      <c r="F9" s="407">
        <v>3</v>
      </c>
      <c r="G9" s="408">
        <f t="shared" si="1"/>
        <v>0</v>
      </c>
      <c r="H9" s="409">
        <v>3</v>
      </c>
      <c r="I9" s="410">
        <f t="shared" si="2"/>
        <v>0</v>
      </c>
    </row>
    <row r="10" spans="1:9" x14ac:dyDescent="0.2">
      <c r="A10" s="404" t="s">
        <v>292</v>
      </c>
      <c r="B10" s="405">
        <v>6</v>
      </c>
      <c r="C10" s="406">
        <v>0</v>
      </c>
      <c r="D10" s="407">
        <v>1</v>
      </c>
      <c r="E10" s="408">
        <f t="shared" si="0"/>
        <v>0</v>
      </c>
      <c r="F10" s="407">
        <v>0</v>
      </c>
      <c r="G10" s="408">
        <f t="shared" si="1"/>
        <v>0</v>
      </c>
      <c r="H10" s="409">
        <v>1</v>
      </c>
      <c r="I10" s="410">
        <f t="shared" si="2"/>
        <v>0</v>
      </c>
    </row>
    <row r="11" spans="1:9" x14ac:dyDescent="0.2">
      <c r="A11" s="404" t="s">
        <v>378</v>
      </c>
      <c r="B11" s="405">
        <v>6</v>
      </c>
      <c r="C11" s="406">
        <v>0</v>
      </c>
      <c r="D11" s="407">
        <v>0</v>
      </c>
      <c r="E11" s="408">
        <f t="shared" si="0"/>
        <v>0</v>
      </c>
      <c r="F11" s="407">
        <v>1</v>
      </c>
      <c r="G11" s="408">
        <f t="shared" si="1"/>
        <v>0</v>
      </c>
      <c r="H11" s="409">
        <v>0</v>
      </c>
      <c r="I11" s="410">
        <f t="shared" si="2"/>
        <v>0</v>
      </c>
    </row>
    <row r="12" spans="1:9" x14ac:dyDescent="0.2">
      <c r="A12" s="404" t="s">
        <v>293</v>
      </c>
      <c r="B12" s="405">
        <v>6</v>
      </c>
      <c r="C12" s="406">
        <v>0</v>
      </c>
      <c r="D12" s="407">
        <v>4</v>
      </c>
      <c r="E12" s="408">
        <f t="shared" si="0"/>
        <v>0</v>
      </c>
      <c r="F12" s="407">
        <v>2</v>
      </c>
      <c r="G12" s="408">
        <f t="shared" si="1"/>
        <v>0</v>
      </c>
      <c r="H12" s="409">
        <v>2</v>
      </c>
      <c r="I12" s="410">
        <f t="shared" si="2"/>
        <v>0</v>
      </c>
    </row>
    <row r="13" spans="1:9" x14ac:dyDescent="0.2">
      <c r="A13" s="404" t="s">
        <v>294</v>
      </c>
      <c r="B13" s="405">
        <v>6</v>
      </c>
      <c r="C13" s="406">
        <v>0</v>
      </c>
      <c r="D13" s="407">
        <v>2</v>
      </c>
      <c r="E13" s="408">
        <f t="shared" si="0"/>
        <v>0</v>
      </c>
      <c r="F13" s="407">
        <v>2</v>
      </c>
      <c r="G13" s="408">
        <f t="shared" si="1"/>
        <v>0</v>
      </c>
      <c r="H13" s="409">
        <v>2</v>
      </c>
      <c r="I13" s="410">
        <f t="shared" si="2"/>
        <v>0</v>
      </c>
    </row>
    <row r="14" spans="1:9" ht="25.5" x14ac:dyDescent="0.2">
      <c r="A14" s="412" t="s">
        <v>295</v>
      </c>
      <c r="B14" s="405">
        <v>6</v>
      </c>
      <c r="C14" s="406">
        <v>0</v>
      </c>
      <c r="D14" s="407">
        <v>1</v>
      </c>
      <c r="E14" s="408">
        <f t="shared" si="0"/>
        <v>0</v>
      </c>
      <c r="F14" s="407">
        <v>1</v>
      </c>
      <c r="G14" s="408">
        <f t="shared" si="1"/>
        <v>0</v>
      </c>
      <c r="H14" s="409">
        <v>1</v>
      </c>
      <c r="I14" s="410">
        <f t="shared" si="2"/>
        <v>0</v>
      </c>
    </row>
    <row r="15" spans="1:9" x14ac:dyDescent="0.2">
      <c r="A15" s="404" t="s">
        <v>296</v>
      </c>
      <c r="B15" s="405">
        <v>6</v>
      </c>
      <c r="C15" s="406">
        <v>0</v>
      </c>
      <c r="D15" s="407">
        <v>1</v>
      </c>
      <c r="E15" s="408">
        <f t="shared" si="0"/>
        <v>0</v>
      </c>
      <c r="F15" s="407">
        <v>1</v>
      </c>
      <c r="G15" s="408">
        <f t="shared" si="1"/>
        <v>0</v>
      </c>
      <c r="H15" s="409">
        <v>1</v>
      </c>
      <c r="I15" s="410">
        <f t="shared" si="2"/>
        <v>0</v>
      </c>
    </row>
    <row r="16" spans="1:9" x14ac:dyDescent="0.2">
      <c r="A16" s="413" t="s">
        <v>379</v>
      </c>
      <c r="B16" s="414">
        <v>12</v>
      </c>
      <c r="C16" s="415">
        <v>0</v>
      </c>
      <c r="D16" s="416">
        <v>1</v>
      </c>
      <c r="E16" s="408">
        <f t="shared" si="0"/>
        <v>0</v>
      </c>
      <c r="F16" s="416">
        <v>1</v>
      </c>
      <c r="G16" s="408">
        <f t="shared" si="1"/>
        <v>0</v>
      </c>
      <c r="H16" s="417">
        <v>1</v>
      </c>
      <c r="I16" s="418">
        <f t="shared" si="2"/>
        <v>0</v>
      </c>
    </row>
    <row r="17" spans="1:9" ht="13.5" thickBot="1" x14ac:dyDescent="0.25">
      <c r="A17" s="263" t="s">
        <v>315</v>
      </c>
      <c r="B17" s="419"/>
      <c r="C17" s="419"/>
      <c r="D17" s="263"/>
      <c r="E17" s="265">
        <f>SUM(E7:E16)</f>
        <v>0</v>
      </c>
      <c r="F17" s="263"/>
      <c r="G17" s="266">
        <f>SUM(G7:G16)</f>
        <v>0</v>
      </c>
      <c r="H17" s="420"/>
      <c r="I17" s="267">
        <f>SUM(I7:I16)</f>
        <v>0</v>
      </c>
    </row>
    <row r="18" spans="1:9" ht="13.5" thickBot="1" x14ac:dyDescent="0.25">
      <c r="A18" s="661"/>
      <c r="B18" s="662"/>
      <c r="C18" s="662"/>
      <c r="D18" s="662"/>
      <c r="E18" s="662"/>
      <c r="F18" s="662"/>
      <c r="G18" s="662"/>
      <c r="H18" s="662"/>
      <c r="I18" s="663"/>
    </row>
    <row r="19" spans="1:9" s="122" customFormat="1" ht="12.75" customHeight="1" x14ac:dyDescent="0.2">
      <c r="A19" s="631" t="s">
        <v>229</v>
      </c>
      <c r="B19" s="633" t="str">
        <f>B5</f>
        <v>Periodicidade / Meses</v>
      </c>
      <c r="C19" s="635" t="str">
        <f>C5</f>
        <v>Valor Unitário</v>
      </c>
      <c r="D19" s="639" t="str">
        <f>D5</f>
        <v>CEARA</v>
      </c>
      <c r="E19" s="640"/>
      <c r="F19" s="639" t="str">
        <f>F5</f>
        <v>CEBAU</v>
      </c>
      <c r="G19" s="640"/>
      <c r="H19" s="637" t="str">
        <f>H5</f>
        <v>CERIB</v>
      </c>
      <c r="I19" s="638"/>
    </row>
    <row r="20" spans="1:9" s="122" customFormat="1" x14ac:dyDescent="0.2">
      <c r="A20" s="632"/>
      <c r="B20" s="634"/>
      <c r="C20" s="636"/>
      <c r="D20" s="401" t="str">
        <f>D6</f>
        <v>Quantidade</v>
      </c>
      <c r="E20" s="402" t="str">
        <f>E6</f>
        <v>Valor</v>
      </c>
      <c r="F20" s="401" t="str">
        <f>F6</f>
        <v>Quantidade</v>
      </c>
      <c r="G20" s="402" t="str">
        <f>G6</f>
        <v>Valor</v>
      </c>
      <c r="H20" s="403" t="str">
        <f>H6</f>
        <v>Quantidade</v>
      </c>
      <c r="I20" s="402" t="str">
        <f>I6</f>
        <v>Valor</v>
      </c>
    </row>
    <row r="21" spans="1:9" x14ac:dyDescent="0.2">
      <c r="A21" s="404" t="s">
        <v>297</v>
      </c>
      <c r="B21" s="405">
        <v>12</v>
      </c>
      <c r="C21" s="406">
        <v>0</v>
      </c>
      <c r="D21" s="407">
        <v>1</v>
      </c>
      <c r="E21" s="408">
        <f t="shared" ref="E21:E37" si="3">ROUND((C21*D21)/B21,2)</f>
        <v>0</v>
      </c>
      <c r="F21" s="407">
        <v>1</v>
      </c>
      <c r="G21" s="408">
        <f t="shared" ref="G21:G37" si="4">ROUND((C21*F21)/B21,2)</f>
        <v>0</v>
      </c>
      <c r="H21" s="409">
        <v>2</v>
      </c>
      <c r="I21" s="410">
        <f t="shared" si="2"/>
        <v>0</v>
      </c>
    </row>
    <row r="22" spans="1:9" x14ac:dyDescent="0.2">
      <c r="A22" s="404" t="s">
        <v>298</v>
      </c>
      <c r="B22" s="405">
        <v>6</v>
      </c>
      <c r="C22" s="406">
        <v>0</v>
      </c>
      <c r="D22" s="407">
        <v>4</v>
      </c>
      <c r="E22" s="408">
        <f t="shared" si="3"/>
        <v>0</v>
      </c>
      <c r="F22" s="407">
        <v>15</v>
      </c>
      <c r="G22" s="408">
        <f t="shared" si="4"/>
        <v>0</v>
      </c>
      <c r="H22" s="409">
        <v>25</v>
      </c>
      <c r="I22" s="410">
        <f t="shared" si="2"/>
        <v>0</v>
      </c>
    </row>
    <row r="23" spans="1:9" x14ac:dyDescent="0.2">
      <c r="A23" s="404" t="s">
        <v>381</v>
      </c>
      <c r="B23" s="405">
        <v>12</v>
      </c>
      <c r="C23" s="406">
        <v>0</v>
      </c>
      <c r="D23" s="407">
        <v>2</v>
      </c>
      <c r="E23" s="408">
        <f t="shared" si="3"/>
        <v>0</v>
      </c>
      <c r="F23" s="407">
        <v>0</v>
      </c>
      <c r="G23" s="408">
        <f t="shared" si="4"/>
        <v>0</v>
      </c>
      <c r="H23" s="409">
        <v>0</v>
      </c>
      <c r="I23" s="410">
        <f t="shared" si="2"/>
        <v>0</v>
      </c>
    </row>
    <row r="24" spans="1:9" x14ac:dyDescent="0.2">
      <c r="A24" s="404" t="s">
        <v>299</v>
      </c>
      <c r="B24" s="405">
        <v>3</v>
      </c>
      <c r="C24" s="406">
        <v>0</v>
      </c>
      <c r="D24" s="407">
        <v>4</v>
      </c>
      <c r="E24" s="408">
        <f t="shared" si="3"/>
        <v>0</v>
      </c>
      <c r="F24" s="407">
        <v>15</v>
      </c>
      <c r="G24" s="408">
        <f t="shared" si="4"/>
        <v>0</v>
      </c>
      <c r="H24" s="409">
        <v>10</v>
      </c>
      <c r="I24" s="410">
        <f t="shared" si="2"/>
        <v>0</v>
      </c>
    </row>
    <row r="25" spans="1:9" x14ac:dyDescent="0.2">
      <c r="A25" s="404" t="s">
        <v>382</v>
      </c>
      <c r="B25" s="405">
        <v>12</v>
      </c>
      <c r="C25" s="406">
        <v>0</v>
      </c>
      <c r="D25" s="407">
        <v>3</v>
      </c>
      <c r="E25" s="408">
        <f t="shared" si="3"/>
        <v>0</v>
      </c>
      <c r="F25" s="407">
        <v>30</v>
      </c>
      <c r="G25" s="408">
        <f t="shared" si="4"/>
        <v>0</v>
      </c>
      <c r="H25" s="409">
        <v>2</v>
      </c>
      <c r="I25" s="410">
        <f t="shared" si="2"/>
        <v>0</v>
      </c>
    </row>
    <row r="26" spans="1:9" x14ac:dyDescent="0.2">
      <c r="A26" s="404" t="s">
        <v>300</v>
      </c>
      <c r="B26" s="405">
        <v>12</v>
      </c>
      <c r="C26" s="406">
        <v>0</v>
      </c>
      <c r="D26" s="407">
        <v>0</v>
      </c>
      <c r="E26" s="408">
        <f t="shared" si="3"/>
        <v>0</v>
      </c>
      <c r="F26" s="407">
        <v>0</v>
      </c>
      <c r="G26" s="408">
        <f t="shared" si="4"/>
        <v>0</v>
      </c>
      <c r="H26" s="409">
        <v>0</v>
      </c>
      <c r="I26" s="410">
        <f t="shared" si="2"/>
        <v>0</v>
      </c>
    </row>
    <row r="27" spans="1:9" x14ac:dyDescent="0.2">
      <c r="A27" s="404" t="s">
        <v>301</v>
      </c>
      <c r="B27" s="405">
        <v>12</v>
      </c>
      <c r="C27" s="406">
        <v>0</v>
      </c>
      <c r="D27" s="407">
        <v>0</v>
      </c>
      <c r="E27" s="408">
        <f t="shared" si="3"/>
        <v>0</v>
      </c>
      <c r="F27" s="407">
        <v>1</v>
      </c>
      <c r="G27" s="408">
        <f t="shared" si="4"/>
        <v>0</v>
      </c>
      <c r="H27" s="409">
        <v>1</v>
      </c>
      <c r="I27" s="410">
        <f t="shared" si="2"/>
        <v>0</v>
      </c>
    </row>
    <row r="28" spans="1:9" x14ac:dyDescent="0.2">
      <c r="A28" s="404" t="s">
        <v>302</v>
      </c>
      <c r="B28" s="405">
        <v>6</v>
      </c>
      <c r="C28" s="406">
        <v>0</v>
      </c>
      <c r="D28" s="407">
        <v>4</v>
      </c>
      <c r="E28" s="408">
        <f t="shared" si="3"/>
        <v>0</v>
      </c>
      <c r="F28" s="407">
        <v>15</v>
      </c>
      <c r="G28" s="408">
        <f t="shared" si="4"/>
        <v>0</v>
      </c>
      <c r="H28" s="409">
        <v>2</v>
      </c>
      <c r="I28" s="410">
        <f t="shared" si="2"/>
        <v>0</v>
      </c>
    </row>
    <row r="29" spans="1:9" x14ac:dyDescent="0.2">
      <c r="A29" s="404" t="s">
        <v>303</v>
      </c>
      <c r="B29" s="405">
        <v>3</v>
      </c>
      <c r="C29" s="406">
        <v>0</v>
      </c>
      <c r="D29" s="407">
        <v>12</v>
      </c>
      <c r="E29" s="408">
        <f t="shared" si="3"/>
        <v>0</v>
      </c>
      <c r="F29" s="407">
        <v>15</v>
      </c>
      <c r="G29" s="408">
        <f t="shared" si="4"/>
        <v>0</v>
      </c>
      <c r="H29" s="409">
        <v>25</v>
      </c>
      <c r="I29" s="410">
        <f t="shared" si="2"/>
        <v>0</v>
      </c>
    </row>
    <row r="30" spans="1:9" x14ac:dyDescent="0.2">
      <c r="A30" s="404" t="s">
        <v>304</v>
      </c>
      <c r="B30" s="405">
        <v>3</v>
      </c>
      <c r="C30" s="406">
        <v>0</v>
      </c>
      <c r="D30" s="407">
        <v>12</v>
      </c>
      <c r="E30" s="408">
        <f t="shared" si="3"/>
        <v>0</v>
      </c>
      <c r="F30" s="407">
        <v>15</v>
      </c>
      <c r="G30" s="408">
        <f t="shared" si="4"/>
        <v>0</v>
      </c>
      <c r="H30" s="409">
        <v>25</v>
      </c>
      <c r="I30" s="410">
        <f t="shared" si="2"/>
        <v>0</v>
      </c>
    </row>
    <row r="31" spans="1:9" x14ac:dyDescent="0.2">
      <c r="A31" s="404" t="s">
        <v>234</v>
      </c>
      <c r="B31" s="405">
        <v>3</v>
      </c>
      <c r="C31" s="406">
        <v>0</v>
      </c>
      <c r="D31" s="407">
        <v>8</v>
      </c>
      <c r="E31" s="408">
        <f t="shared" si="3"/>
        <v>0</v>
      </c>
      <c r="F31" s="407">
        <v>15</v>
      </c>
      <c r="G31" s="408">
        <f t="shared" si="4"/>
        <v>0</v>
      </c>
      <c r="H31" s="409">
        <v>10</v>
      </c>
      <c r="I31" s="410">
        <f t="shared" si="2"/>
        <v>0</v>
      </c>
    </row>
    <row r="32" spans="1:9" x14ac:dyDescent="0.2">
      <c r="A32" s="404" t="s">
        <v>305</v>
      </c>
      <c r="B32" s="405">
        <v>12</v>
      </c>
      <c r="C32" s="406">
        <v>0</v>
      </c>
      <c r="D32" s="407">
        <v>0</v>
      </c>
      <c r="E32" s="408">
        <f t="shared" si="3"/>
        <v>0</v>
      </c>
      <c r="F32" s="407">
        <v>6</v>
      </c>
      <c r="G32" s="408">
        <f t="shared" si="4"/>
        <v>0</v>
      </c>
      <c r="H32" s="409">
        <v>2</v>
      </c>
      <c r="I32" s="410">
        <f t="shared" si="2"/>
        <v>0</v>
      </c>
    </row>
    <row r="33" spans="1:9" x14ac:dyDescent="0.2">
      <c r="A33" s="404" t="s">
        <v>383</v>
      </c>
      <c r="B33" s="405">
        <v>6</v>
      </c>
      <c r="C33" s="406">
        <v>0</v>
      </c>
      <c r="D33" s="407">
        <v>4</v>
      </c>
      <c r="E33" s="408">
        <f t="shared" si="3"/>
        <v>0</v>
      </c>
      <c r="F33" s="407">
        <v>15</v>
      </c>
      <c r="G33" s="408">
        <f t="shared" si="4"/>
        <v>0</v>
      </c>
      <c r="H33" s="409">
        <v>25</v>
      </c>
      <c r="I33" s="410">
        <f t="shared" si="2"/>
        <v>0</v>
      </c>
    </row>
    <row r="34" spans="1:9" x14ac:dyDescent="0.2">
      <c r="A34" s="404" t="s">
        <v>384</v>
      </c>
      <c r="B34" s="405">
        <v>6</v>
      </c>
      <c r="C34" s="406">
        <v>0</v>
      </c>
      <c r="D34" s="407">
        <v>1</v>
      </c>
      <c r="E34" s="408">
        <f t="shared" si="3"/>
        <v>0</v>
      </c>
      <c r="F34" s="407">
        <v>1</v>
      </c>
      <c r="G34" s="408">
        <f t="shared" si="4"/>
        <v>0</v>
      </c>
      <c r="H34" s="409">
        <v>1</v>
      </c>
      <c r="I34" s="410">
        <f t="shared" si="2"/>
        <v>0</v>
      </c>
    </row>
    <row r="35" spans="1:9" x14ac:dyDescent="0.2">
      <c r="A35" s="404" t="s">
        <v>385</v>
      </c>
      <c r="B35" s="405">
        <v>12</v>
      </c>
      <c r="C35" s="406">
        <v>0</v>
      </c>
      <c r="D35" s="407">
        <v>0</v>
      </c>
      <c r="E35" s="408">
        <f t="shared" si="3"/>
        <v>0</v>
      </c>
      <c r="F35" s="407">
        <v>4</v>
      </c>
      <c r="G35" s="408">
        <f t="shared" si="4"/>
        <v>0</v>
      </c>
      <c r="H35" s="409">
        <v>2</v>
      </c>
      <c r="I35" s="410">
        <f t="shared" si="2"/>
        <v>0</v>
      </c>
    </row>
    <row r="36" spans="1:9" x14ac:dyDescent="0.2">
      <c r="A36" s="404" t="s">
        <v>386</v>
      </c>
      <c r="B36" s="405">
        <v>6</v>
      </c>
      <c r="C36" s="406">
        <v>0</v>
      </c>
      <c r="D36" s="407">
        <v>0</v>
      </c>
      <c r="E36" s="408">
        <f t="shared" si="3"/>
        <v>0</v>
      </c>
      <c r="F36" s="407">
        <v>15</v>
      </c>
      <c r="G36" s="408">
        <f t="shared" si="4"/>
        <v>0</v>
      </c>
      <c r="H36" s="409">
        <v>3</v>
      </c>
      <c r="I36" s="410">
        <f t="shared" si="2"/>
        <v>0</v>
      </c>
    </row>
    <row r="37" spans="1:9" ht="13.5" thickBot="1" x14ac:dyDescent="0.25">
      <c r="A37" s="423" t="s">
        <v>387</v>
      </c>
      <c r="B37" s="414">
        <v>3</v>
      </c>
      <c r="C37" s="415">
        <v>0</v>
      </c>
      <c r="D37" s="416">
        <v>2</v>
      </c>
      <c r="E37" s="424">
        <f t="shared" si="3"/>
        <v>0</v>
      </c>
      <c r="F37" s="416">
        <v>15</v>
      </c>
      <c r="G37" s="424">
        <f t="shared" si="4"/>
        <v>0</v>
      </c>
      <c r="H37" s="417">
        <v>2</v>
      </c>
      <c r="I37" s="418">
        <f t="shared" si="2"/>
        <v>0</v>
      </c>
    </row>
    <row r="38" spans="1:9" ht="13.5" thickBot="1" x14ac:dyDescent="0.25">
      <c r="A38" s="644" t="s">
        <v>315</v>
      </c>
      <c r="B38" s="645"/>
      <c r="C38" s="646"/>
      <c r="D38" s="425"/>
      <c r="E38" s="1182">
        <f>SUM(E21:E37)</f>
        <v>0</v>
      </c>
      <c r="F38" s="425"/>
      <c r="G38" s="1182">
        <f>SUM(G21:G37)</f>
        <v>0</v>
      </c>
      <c r="H38" s="426"/>
      <c r="I38" s="1183">
        <f>SUM(I21:I37)</f>
        <v>0</v>
      </c>
    </row>
    <row r="39" spans="1:9" ht="13.5" thickBot="1" x14ac:dyDescent="0.25">
      <c r="A39" s="641" t="s">
        <v>448</v>
      </c>
      <c r="B39" s="642"/>
      <c r="C39" s="643"/>
      <c r="D39" s="647">
        <f>ROUND((E38/'Quadro Resumo M² - CEARA'!F17),2)</f>
        <v>0</v>
      </c>
      <c r="E39" s="648"/>
      <c r="F39" s="647">
        <f>ROUND((G38/'Quadro Resumo M² - CEBAU'!F19),2)</f>
        <v>0</v>
      </c>
      <c r="G39" s="648"/>
      <c r="H39" s="664">
        <f>ROUND((I38/'Quadro Resumo M² - CERIB'!F21),2)</f>
        <v>0</v>
      </c>
      <c r="I39" s="665"/>
    </row>
    <row r="40" spans="1:9" s="121" customFormat="1" x14ac:dyDescent="0.2">
      <c r="A40" s="630"/>
      <c r="B40" s="630"/>
      <c r="C40" s="630"/>
      <c r="D40" s="630"/>
      <c r="E40" s="630"/>
      <c r="F40" s="630"/>
      <c r="G40" s="630"/>
      <c r="H40" s="630"/>
      <c r="I40" s="630"/>
    </row>
    <row r="109" spans="5:5" x14ac:dyDescent="0.2">
      <c r="E109" s="48">
        <f>'Uniformes e EPI''s'!G38</f>
        <v>0</v>
      </c>
    </row>
  </sheetData>
  <mergeCells count="23">
    <mergeCell ref="A18:I18"/>
    <mergeCell ref="H5:I5"/>
    <mergeCell ref="H39:I39"/>
    <mergeCell ref="D5:E5"/>
    <mergeCell ref="F5:G5"/>
    <mergeCell ref="A5:A6"/>
    <mergeCell ref="A1:I1"/>
    <mergeCell ref="A2:I2"/>
    <mergeCell ref="A3:I3"/>
    <mergeCell ref="B5:B6"/>
    <mergeCell ref="C5:C6"/>
    <mergeCell ref="A4:I4"/>
    <mergeCell ref="A40:I40"/>
    <mergeCell ref="A19:A20"/>
    <mergeCell ref="B19:B20"/>
    <mergeCell ref="C19:C20"/>
    <mergeCell ref="H19:I19"/>
    <mergeCell ref="D19:E19"/>
    <mergeCell ref="F19:G19"/>
    <mergeCell ref="A39:C39"/>
    <mergeCell ref="A38:C38"/>
    <mergeCell ref="D39:E39"/>
    <mergeCell ref="F39:G39"/>
  </mergeCells>
  <printOptions horizontalCentered="1"/>
  <pageMargins left="0.78740157480314965" right="0.78740157480314965" top="0.78740157480314965" bottom="0.78740157480314965" header="0.31496062992125984" footer="0.31496062992125984"/>
  <pageSetup paperSize="9" scale="90" orientation="landscape" r:id="rId1"/>
  <headerFooter>
    <oddHeader>&amp;RPlanilha MODELO LICITANTE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I145"/>
  <sheetViews>
    <sheetView view="pageBreakPreview" topLeftCell="A127" zoomScale="110" zoomScaleNormal="110" zoomScaleSheetLayoutView="110" workbookViewId="0">
      <selection activeCell="H136" sqref="H136:I136"/>
    </sheetView>
  </sheetViews>
  <sheetFormatPr defaultRowHeight="12.75" x14ac:dyDescent="0.2"/>
  <cols>
    <col min="1" max="1" width="52.7109375" style="48" customWidth="1"/>
    <col min="2" max="3" width="12.7109375" style="48" customWidth="1"/>
    <col min="4" max="4" width="8.42578125" style="48" bestFit="1" customWidth="1"/>
    <col min="5" max="5" width="10.7109375" style="48" customWidth="1"/>
    <col min="6" max="6" width="8.42578125" style="48" bestFit="1" customWidth="1"/>
    <col min="7" max="7" width="10.7109375" style="48" customWidth="1"/>
    <col min="8" max="8" width="8.42578125" style="48" bestFit="1" customWidth="1"/>
    <col min="9" max="9" width="11.5703125" style="48" customWidth="1"/>
    <col min="10" max="254" width="9.140625" style="48"/>
    <col min="255" max="255" width="13.5703125" style="48" customWidth="1"/>
    <col min="256" max="256" width="12.85546875" style="48" customWidth="1"/>
    <col min="257" max="257" width="15" style="48" customWidth="1"/>
    <col min="258" max="259" width="13.42578125" style="48" customWidth="1"/>
    <col min="260" max="510" width="9.140625" style="48"/>
    <col min="511" max="511" width="13.5703125" style="48" customWidth="1"/>
    <col min="512" max="512" width="12.85546875" style="48" customWidth="1"/>
    <col min="513" max="513" width="15" style="48" customWidth="1"/>
    <col min="514" max="515" width="13.42578125" style="48" customWidth="1"/>
    <col min="516" max="766" width="9.140625" style="48"/>
    <col min="767" max="767" width="13.5703125" style="48" customWidth="1"/>
    <col min="768" max="768" width="12.85546875" style="48" customWidth="1"/>
    <col min="769" max="769" width="15" style="48" customWidth="1"/>
    <col min="770" max="771" width="13.42578125" style="48" customWidth="1"/>
    <col min="772" max="1022" width="9.140625" style="48"/>
    <col min="1023" max="1023" width="13.5703125" style="48" customWidth="1"/>
    <col min="1024" max="1024" width="12.85546875" style="48" customWidth="1"/>
    <col min="1025" max="1025" width="15" style="48" customWidth="1"/>
    <col min="1026" max="1027" width="13.42578125" style="48" customWidth="1"/>
    <col min="1028" max="1278" width="9.140625" style="48"/>
    <col min="1279" max="1279" width="13.5703125" style="48" customWidth="1"/>
    <col min="1280" max="1280" width="12.85546875" style="48" customWidth="1"/>
    <col min="1281" max="1281" width="15" style="48" customWidth="1"/>
    <col min="1282" max="1283" width="13.42578125" style="48" customWidth="1"/>
    <col min="1284" max="1534" width="9.140625" style="48"/>
    <col min="1535" max="1535" width="13.5703125" style="48" customWidth="1"/>
    <col min="1536" max="1536" width="12.85546875" style="48" customWidth="1"/>
    <col min="1537" max="1537" width="15" style="48" customWidth="1"/>
    <col min="1538" max="1539" width="13.42578125" style="48" customWidth="1"/>
    <col min="1540" max="1790" width="9.140625" style="48"/>
    <col min="1791" max="1791" width="13.5703125" style="48" customWidth="1"/>
    <col min="1792" max="1792" width="12.85546875" style="48" customWidth="1"/>
    <col min="1793" max="1793" width="15" style="48" customWidth="1"/>
    <col min="1794" max="1795" width="13.42578125" style="48" customWidth="1"/>
    <col min="1796" max="2046" width="9.140625" style="48"/>
    <col min="2047" max="2047" width="13.5703125" style="48" customWidth="1"/>
    <col min="2048" max="2048" width="12.85546875" style="48" customWidth="1"/>
    <col min="2049" max="2049" width="15" style="48" customWidth="1"/>
    <col min="2050" max="2051" width="13.42578125" style="48" customWidth="1"/>
    <col min="2052" max="2302" width="9.140625" style="48"/>
    <col min="2303" max="2303" width="13.5703125" style="48" customWidth="1"/>
    <col min="2304" max="2304" width="12.85546875" style="48" customWidth="1"/>
    <col min="2305" max="2305" width="15" style="48" customWidth="1"/>
    <col min="2306" max="2307" width="13.42578125" style="48" customWidth="1"/>
    <col min="2308" max="2558" width="9.140625" style="48"/>
    <col min="2559" max="2559" width="13.5703125" style="48" customWidth="1"/>
    <col min="2560" max="2560" width="12.85546875" style="48" customWidth="1"/>
    <col min="2561" max="2561" width="15" style="48" customWidth="1"/>
    <col min="2562" max="2563" width="13.42578125" style="48" customWidth="1"/>
    <col min="2564" max="2814" width="9.140625" style="48"/>
    <col min="2815" max="2815" width="13.5703125" style="48" customWidth="1"/>
    <col min="2816" max="2816" width="12.85546875" style="48" customWidth="1"/>
    <col min="2817" max="2817" width="15" style="48" customWidth="1"/>
    <col min="2818" max="2819" width="13.42578125" style="48" customWidth="1"/>
    <col min="2820" max="3070" width="9.140625" style="48"/>
    <col min="3071" max="3071" width="13.5703125" style="48" customWidth="1"/>
    <col min="3072" max="3072" width="12.85546875" style="48" customWidth="1"/>
    <col min="3073" max="3073" width="15" style="48" customWidth="1"/>
    <col min="3074" max="3075" width="13.42578125" style="48" customWidth="1"/>
    <col min="3076" max="3326" width="9.140625" style="48"/>
    <col min="3327" max="3327" width="13.5703125" style="48" customWidth="1"/>
    <col min="3328" max="3328" width="12.85546875" style="48" customWidth="1"/>
    <col min="3329" max="3329" width="15" style="48" customWidth="1"/>
    <col min="3330" max="3331" width="13.42578125" style="48" customWidth="1"/>
    <col min="3332" max="3582" width="9.140625" style="48"/>
    <col min="3583" max="3583" width="13.5703125" style="48" customWidth="1"/>
    <col min="3584" max="3584" width="12.85546875" style="48" customWidth="1"/>
    <col min="3585" max="3585" width="15" style="48" customWidth="1"/>
    <col min="3586" max="3587" width="13.42578125" style="48" customWidth="1"/>
    <col min="3588" max="3838" width="9.140625" style="48"/>
    <col min="3839" max="3839" width="13.5703125" style="48" customWidth="1"/>
    <col min="3840" max="3840" width="12.85546875" style="48" customWidth="1"/>
    <col min="3841" max="3841" width="15" style="48" customWidth="1"/>
    <col min="3842" max="3843" width="13.42578125" style="48" customWidth="1"/>
    <col min="3844" max="4094" width="9.140625" style="48"/>
    <col min="4095" max="4095" width="13.5703125" style="48" customWidth="1"/>
    <col min="4096" max="4096" width="12.85546875" style="48" customWidth="1"/>
    <col min="4097" max="4097" width="15" style="48" customWidth="1"/>
    <col min="4098" max="4099" width="13.42578125" style="48" customWidth="1"/>
    <col min="4100" max="4350" width="9.140625" style="48"/>
    <col min="4351" max="4351" width="13.5703125" style="48" customWidth="1"/>
    <col min="4352" max="4352" width="12.85546875" style="48" customWidth="1"/>
    <col min="4353" max="4353" width="15" style="48" customWidth="1"/>
    <col min="4354" max="4355" width="13.42578125" style="48" customWidth="1"/>
    <col min="4356" max="4606" width="9.140625" style="48"/>
    <col min="4607" max="4607" width="13.5703125" style="48" customWidth="1"/>
    <col min="4608" max="4608" width="12.85546875" style="48" customWidth="1"/>
    <col min="4609" max="4609" width="15" style="48" customWidth="1"/>
    <col min="4610" max="4611" width="13.42578125" style="48" customWidth="1"/>
    <col min="4612" max="4862" width="9.140625" style="48"/>
    <col min="4863" max="4863" width="13.5703125" style="48" customWidth="1"/>
    <col min="4864" max="4864" width="12.85546875" style="48" customWidth="1"/>
    <col min="4865" max="4865" width="15" style="48" customWidth="1"/>
    <col min="4866" max="4867" width="13.42578125" style="48" customWidth="1"/>
    <col min="4868" max="5118" width="9.140625" style="48"/>
    <col min="5119" max="5119" width="13.5703125" style="48" customWidth="1"/>
    <col min="5120" max="5120" width="12.85546875" style="48" customWidth="1"/>
    <col min="5121" max="5121" width="15" style="48" customWidth="1"/>
    <col min="5122" max="5123" width="13.42578125" style="48" customWidth="1"/>
    <col min="5124" max="5374" width="9.140625" style="48"/>
    <col min="5375" max="5375" width="13.5703125" style="48" customWidth="1"/>
    <col min="5376" max="5376" width="12.85546875" style="48" customWidth="1"/>
    <col min="5377" max="5377" width="15" style="48" customWidth="1"/>
    <col min="5378" max="5379" width="13.42578125" style="48" customWidth="1"/>
    <col min="5380" max="5630" width="9.140625" style="48"/>
    <col min="5631" max="5631" width="13.5703125" style="48" customWidth="1"/>
    <col min="5632" max="5632" width="12.85546875" style="48" customWidth="1"/>
    <col min="5633" max="5633" width="15" style="48" customWidth="1"/>
    <col min="5634" max="5635" width="13.42578125" style="48" customWidth="1"/>
    <col min="5636" max="5886" width="9.140625" style="48"/>
    <col min="5887" max="5887" width="13.5703125" style="48" customWidth="1"/>
    <col min="5888" max="5888" width="12.85546875" style="48" customWidth="1"/>
    <col min="5889" max="5889" width="15" style="48" customWidth="1"/>
    <col min="5890" max="5891" width="13.42578125" style="48" customWidth="1"/>
    <col min="5892" max="6142" width="9.140625" style="48"/>
    <col min="6143" max="6143" width="13.5703125" style="48" customWidth="1"/>
    <col min="6144" max="6144" width="12.85546875" style="48" customWidth="1"/>
    <col min="6145" max="6145" width="15" style="48" customWidth="1"/>
    <col min="6146" max="6147" width="13.42578125" style="48" customWidth="1"/>
    <col min="6148" max="6398" width="9.140625" style="48"/>
    <col min="6399" max="6399" width="13.5703125" style="48" customWidth="1"/>
    <col min="6400" max="6400" width="12.85546875" style="48" customWidth="1"/>
    <col min="6401" max="6401" width="15" style="48" customWidth="1"/>
    <col min="6402" max="6403" width="13.42578125" style="48" customWidth="1"/>
    <col min="6404" max="6654" width="9.140625" style="48"/>
    <col min="6655" max="6655" width="13.5703125" style="48" customWidth="1"/>
    <col min="6656" max="6656" width="12.85546875" style="48" customWidth="1"/>
    <col min="6657" max="6657" width="15" style="48" customWidth="1"/>
    <col min="6658" max="6659" width="13.42578125" style="48" customWidth="1"/>
    <col min="6660" max="6910" width="9.140625" style="48"/>
    <col min="6911" max="6911" width="13.5703125" style="48" customWidth="1"/>
    <col min="6912" max="6912" width="12.85546875" style="48" customWidth="1"/>
    <col min="6913" max="6913" width="15" style="48" customWidth="1"/>
    <col min="6914" max="6915" width="13.42578125" style="48" customWidth="1"/>
    <col min="6916" max="7166" width="9.140625" style="48"/>
    <col min="7167" max="7167" width="13.5703125" style="48" customWidth="1"/>
    <col min="7168" max="7168" width="12.85546875" style="48" customWidth="1"/>
    <col min="7169" max="7169" width="15" style="48" customWidth="1"/>
    <col min="7170" max="7171" width="13.42578125" style="48" customWidth="1"/>
    <col min="7172" max="7422" width="9.140625" style="48"/>
    <col min="7423" max="7423" width="13.5703125" style="48" customWidth="1"/>
    <col min="7424" max="7424" width="12.85546875" style="48" customWidth="1"/>
    <col min="7425" max="7425" width="15" style="48" customWidth="1"/>
    <col min="7426" max="7427" width="13.42578125" style="48" customWidth="1"/>
    <col min="7428" max="7678" width="9.140625" style="48"/>
    <col min="7679" max="7679" width="13.5703125" style="48" customWidth="1"/>
    <col min="7680" max="7680" width="12.85546875" style="48" customWidth="1"/>
    <col min="7681" max="7681" width="15" style="48" customWidth="1"/>
    <col min="7682" max="7683" width="13.42578125" style="48" customWidth="1"/>
    <col min="7684" max="7934" width="9.140625" style="48"/>
    <col min="7935" max="7935" width="13.5703125" style="48" customWidth="1"/>
    <col min="7936" max="7936" width="12.85546875" style="48" customWidth="1"/>
    <col min="7937" max="7937" width="15" style="48" customWidth="1"/>
    <col min="7938" max="7939" width="13.42578125" style="48" customWidth="1"/>
    <col min="7940" max="8190" width="9.140625" style="48"/>
    <col min="8191" max="8191" width="13.5703125" style="48" customWidth="1"/>
    <col min="8192" max="8192" width="12.85546875" style="48" customWidth="1"/>
    <col min="8193" max="8193" width="15" style="48" customWidth="1"/>
    <col min="8194" max="8195" width="13.42578125" style="48" customWidth="1"/>
    <col min="8196" max="8446" width="9.140625" style="48"/>
    <col min="8447" max="8447" width="13.5703125" style="48" customWidth="1"/>
    <col min="8448" max="8448" width="12.85546875" style="48" customWidth="1"/>
    <col min="8449" max="8449" width="15" style="48" customWidth="1"/>
    <col min="8450" max="8451" width="13.42578125" style="48" customWidth="1"/>
    <col min="8452" max="8702" width="9.140625" style="48"/>
    <col min="8703" max="8703" width="13.5703125" style="48" customWidth="1"/>
    <col min="8704" max="8704" width="12.85546875" style="48" customWidth="1"/>
    <col min="8705" max="8705" width="15" style="48" customWidth="1"/>
    <col min="8706" max="8707" width="13.42578125" style="48" customWidth="1"/>
    <col min="8708" max="8958" width="9.140625" style="48"/>
    <col min="8959" max="8959" width="13.5703125" style="48" customWidth="1"/>
    <col min="8960" max="8960" width="12.85546875" style="48" customWidth="1"/>
    <col min="8961" max="8961" width="15" style="48" customWidth="1"/>
    <col min="8962" max="8963" width="13.42578125" style="48" customWidth="1"/>
    <col min="8964" max="9214" width="9.140625" style="48"/>
    <col min="9215" max="9215" width="13.5703125" style="48" customWidth="1"/>
    <col min="9216" max="9216" width="12.85546875" style="48" customWidth="1"/>
    <col min="9217" max="9217" width="15" style="48" customWidth="1"/>
    <col min="9218" max="9219" width="13.42578125" style="48" customWidth="1"/>
    <col min="9220" max="9470" width="9.140625" style="48"/>
    <col min="9471" max="9471" width="13.5703125" style="48" customWidth="1"/>
    <col min="9472" max="9472" width="12.85546875" style="48" customWidth="1"/>
    <col min="9473" max="9473" width="15" style="48" customWidth="1"/>
    <col min="9474" max="9475" width="13.42578125" style="48" customWidth="1"/>
    <col min="9476" max="9726" width="9.140625" style="48"/>
    <col min="9727" max="9727" width="13.5703125" style="48" customWidth="1"/>
    <col min="9728" max="9728" width="12.85546875" style="48" customWidth="1"/>
    <col min="9729" max="9729" width="15" style="48" customWidth="1"/>
    <col min="9730" max="9731" width="13.42578125" style="48" customWidth="1"/>
    <col min="9732" max="9982" width="9.140625" style="48"/>
    <col min="9983" max="9983" width="13.5703125" style="48" customWidth="1"/>
    <col min="9984" max="9984" width="12.85546875" style="48" customWidth="1"/>
    <col min="9985" max="9985" width="15" style="48" customWidth="1"/>
    <col min="9986" max="9987" width="13.42578125" style="48" customWidth="1"/>
    <col min="9988" max="10238" width="9.140625" style="48"/>
    <col min="10239" max="10239" width="13.5703125" style="48" customWidth="1"/>
    <col min="10240" max="10240" width="12.85546875" style="48" customWidth="1"/>
    <col min="10241" max="10241" width="15" style="48" customWidth="1"/>
    <col min="10242" max="10243" width="13.42578125" style="48" customWidth="1"/>
    <col min="10244" max="10494" width="9.140625" style="48"/>
    <col min="10495" max="10495" width="13.5703125" style="48" customWidth="1"/>
    <col min="10496" max="10496" width="12.85546875" style="48" customWidth="1"/>
    <col min="10497" max="10497" width="15" style="48" customWidth="1"/>
    <col min="10498" max="10499" width="13.42578125" style="48" customWidth="1"/>
    <col min="10500" max="10750" width="9.140625" style="48"/>
    <col min="10751" max="10751" width="13.5703125" style="48" customWidth="1"/>
    <col min="10752" max="10752" width="12.85546875" style="48" customWidth="1"/>
    <col min="10753" max="10753" width="15" style="48" customWidth="1"/>
    <col min="10754" max="10755" width="13.42578125" style="48" customWidth="1"/>
    <col min="10756" max="11006" width="9.140625" style="48"/>
    <col min="11007" max="11007" width="13.5703125" style="48" customWidth="1"/>
    <col min="11008" max="11008" width="12.85546875" style="48" customWidth="1"/>
    <col min="11009" max="11009" width="15" style="48" customWidth="1"/>
    <col min="11010" max="11011" width="13.42578125" style="48" customWidth="1"/>
    <col min="11012" max="11262" width="9.140625" style="48"/>
    <col min="11263" max="11263" width="13.5703125" style="48" customWidth="1"/>
    <col min="11264" max="11264" width="12.85546875" style="48" customWidth="1"/>
    <col min="11265" max="11265" width="15" style="48" customWidth="1"/>
    <col min="11266" max="11267" width="13.42578125" style="48" customWidth="1"/>
    <col min="11268" max="11518" width="9.140625" style="48"/>
    <col min="11519" max="11519" width="13.5703125" style="48" customWidth="1"/>
    <col min="11520" max="11520" width="12.85546875" style="48" customWidth="1"/>
    <col min="11521" max="11521" width="15" style="48" customWidth="1"/>
    <col min="11522" max="11523" width="13.42578125" style="48" customWidth="1"/>
    <col min="11524" max="11774" width="9.140625" style="48"/>
    <col min="11775" max="11775" width="13.5703125" style="48" customWidth="1"/>
    <col min="11776" max="11776" width="12.85546875" style="48" customWidth="1"/>
    <col min="11777" max="11777" width="15" style="48" customWidth="1"/>
    <col min="11778" max="11779" width="13.42578125" style="48" customWidth="1"/>
    <col min="11780" max="12030" width="9.140625" style="48"/>
    <col min="12031" max="12031" width="13.5703125" style="48" customWidth="1"/>
    <col min="12032" max="12032" width="12.85546875" style="48" customWidth="1"/>
    <col min="12033" max="12033" width="15" style="48" customWidth="1"/>
    <col min="12034" max="12035" width="13.42578125" style="48" customWidth="1"/>
    <col min="12036" max="12286" width="9.140625" style="48"/>
    <col min="12287" max="12287" width="13.5703125" style="48" customWidth="1"/>
    <col min="12288" max="12288" width="12.85546875" style="48" customWidth="1"/>
    <col min="12289" max="12289" width="15" style="48" customWidth="1"/>
    <col min="12290" max="12291" width="13.42578125" style="48" customWidth="1"/>
    <col min="12292" max="12542" width="9.140625" style="48"/>
    <col min="12543" max="12543" width="13.5703125" style="48" customWidth="1"/>
    <col min="12544" max="12544" width="12.85546875" style="48" customWidth="1"/>
    <col min="12545" max="12545" width="15" style="48" customWidth="1"/>
    <col min="12546" max="12547" width="13.42578125" style="48" customWidth="1"/>
    <col min="12548" max="12798" width="9.140625" style="48"/>
    <col min="12799" max="12799" width="13.5703125" style="48" customWidth="1"/>
    <col min="12800" max="12800" width="12.85546875" style="48" customWidth="1"/>
    <col min="12801" max="12801" width="15" style="48" customWidth="1"/>
    <col min="12802" max="12803" width="13.42578125" style="48" customWidth="1"/>
    <col min="12804" max="13054" width="9.140625" style="48"/>
    <col min="13055" max="13055" width="13.5703125" style="48" customWidth="1"/>
    <col min="13056" max="13056" width="12.85546875" style="48" customWidth="1"/>
    <col min="13057" max="13057" width="15" style="48" customWidth="1"/>
    <col min="13058" max="13059" width="13.42578125" style="48" customWidth="1"/>
    <col min="13060" max="13310" width="9.140625" style="48"/>
    <col min="13311" max="13311" width="13.5703125" style="48" customWidth="1"/>
    <col min="13312" max="13312" width="12.85546875" style="48" customWidth="1"/>
    <col min="13313" max="13313" width="15" style="48" customWidth="1"/>
    <col min="13314" max="13315" width="13.42578125" style="48" customWidth="1"/>
    <col min="13316" max="13566" width="9.140625" style="48"/>
    <col min="13567" max="13567" width="13.5703125" style="48" customWidth="1"/>
    <col min="13568" max="13568" width="12.85546875" style="48" customWidth="1"/>
    <col min="13569" max="13569" width="15" style="48" customWidth="1"/>
    <col min="13570" max="13571" width="13.42578125" style="48" customWidth="1"/>
    <col min="13572" max="13822" width="9.140625" style="48"/>
    <col min="13823" max="13823" width="13.5703125" style="48" customWidth="1"/>
    <col min="13824" max="13824" width="12.85546875" style="48" customWidth="1"/>
    <col min="13825" max="13825" width="15" style="48" customWidth="1"/>
    <col min="13826" max="13827" width="13.42578125" style="48" customWidth="1"/>
    <col min="13828" max="14078" width="9.140625" style="48"/>
    <col min="14079" max="14079" width="13.5703125" style="48" customWidth="1"/>
    <col min="14080" max="14080" width="12.85546875" style="48" customWidth="1"/>
    <col min="14081" max="14081" width="15" style="48" customWidth="1"/>
    <col min="14082" max="14083" width="13.42578125" style="48" customWidth="1"/>
    <col min="14084" max="14334" width="9.140625" style="48"/>
    <col min="14335" max="14335" width="13.5703125" style="48" customWidth="1"/>
    <col min="14336" max="14336" width="12.85546875" style="48" customWidth="1"/>
    <col min="14337" max="14337" width="15" style="48" customWidth="1"/>
    <col min="14338" max="14339" width="13.42578125" style="48" customWidth="1"/>
    <col min="14340" max="14590" width="9.140625" style="48"/>
    <col min="14591" max="14591" width="13.5703125" style="48" customWidth="1"/>
    <col min="14592" max="14592" width="12.85546875" style="48" customWidth="1"/>
    <col min="14593" max="14593" width="15" style="48" customWidth="1"/>
    <col min="14594" max="14595" width="13.42578125" style="48" customWidth="1"/>
    <col min="14596" max="14846" width="9.140625" style="48"/>
    <col min="14847" max="14847" width="13.5703125" style="48" customWidth="1"/>
    <col min="14848" max="14848" width="12.85546875" style="48" customWidth="1"/>
    <col min="14849" max="14849" width="15" style="48" customWidth="1"/>
    <col min="14850" max="14851" width="13.42578125" style="48" customWidth="1"/>
    <col min="14852" max="15102" width="9.140625" style="48"/>
    <col min="15103" max="15103" width="13.5703125" style="48" customWidth="1"/>
    <col min="15104" max="15104" width="12.85546875" style="48" customWidth="1"/>
    <col min="15105" max="15105" width="15" style="48" customWidth="1"/>
    <col min="15106" max="15107" width="13.42578125" style="48" customWidth="1"/>
    <col min="15108" max="15358" width="9.140625" style="48"/>
    <col min="15359" max="15359" width="13.5703125" style="48" customWidth="1"/>
    <col min="15360" max="15360" width="12.85546875" style="48" customWidth="1"/>
    <col min="15361" max="15361" width="15" style="48" customWidth="1"/>
    <col min="15362" max="15363" width="13.42578125" style="48" customWidth="1"/>
    <col min="15364" max="15614" width="9.140625" style="48"/>
    <col min="15615" max="15615" width="13.5703125" style="48" customWidth="1"/>
    <col min="15616" max="15616" width="12.85546875" style="48" customWidth="1"/>
    <col min="15617" max="15617" width="15" style="48" customWidth="1"/>
    <col min="15618" max="15619" width="13.42578125" style="48" customWidth="1"/>
    <col min="15620" max="15870" width="9.140625" style="48"/>
    <col min="15871" max="15871" width="13.5703125" style="48" customWidth="1"/>
    <col min="15872" max="15872" width="12.85546875" style="48" customWidth="1"/>
    <col min="15873" max="15873" width="15" style="48" customWidth="1"/>
    <col min="15874" max="15875" width="13.42578125" style="48" customWidth="1"/>
    <col min="15876" max="16126" width="9.140625" style="48"/>
    <col min="16127" max="16127" width="13.5703125" style="48" customWidth="1"/>
    <col min="16128" max="16128" width="12.85546875" style="48" customWidth="1"/>
    <col min="16129" max="16129" width="15" style="48" customWidth="1"/>
    <col min="16130" max="16131" width="13.42578125" style="48" customWidth="1"/>
    <col min="16132" max="16384" width="9.140625" style="48"/>
  </cols>
  <sheetData>
    <row r="1" spans="1:9" ht="16.5" x14ac:dyDescent="0.2">
      <c r="A1" s="682" t="s">
        <v>483</v>
      </c>
      <c r="B1" s="683"/>
      <c r="C1" s="683"/>
      <c r="D1" s="684"/>
      <c r="E1" s="684"/>
      <c r="F1" s="684"/>
      <c r="G1" s="684"/>
      <c r="H1" s="683"/>
      <c r="I1" s="685"/>
    </row>
    <row r="2" spans="1:9" s="49" customFormat="1" ht="16.5" x14ac:dyDescent="0.2">
      <c r="A2" s="686" t="s">
        <v>219</v>
      </c>
      <c r="B2" s="653"/>
      <c r="C2" s="653"/>
      <c r="D2" s="653"/>
      <c r="E2" s="653"/>
      <c r="F2" s="653"/>
      <c r="G2" s="653"/>
      <c r="H2" s="653"/>
      <c r="I2" s="654"/>
    </row>
    <row r="3" spans="1:9" s="49" customFormat="1" ht="13.5" thickBot="1" x14ac:dyDescent="0.25">
      <c r="A3" s="687" t="s">
        <v>447</v>
      </c>
      <c r="B3" s="656"/>
      <c r="C3" s="656"/>
      <c r="D3" s="656"/>
      <c r="E3" s="656"/>
      <c r="F3" s="656"/>
      <c r="G3" s="656"/>
      <c r="H3" s="656"/>
      <c r="I3" s="657"/>
    </row>
    <row r="4" spans="1:9" s="122" customFormat="1" ht="12.75" customHeight="1" x14ac:dyDescent="0.2">
      <c r="A4" s="688" t="s">
        <v>313</v>
      </c>
      <c r="B4" s="690" t="s">
        <v>352</v>
      </c>
      <c r="C4" s="692" t="s">
        <v>132</v>
      </c>
      <c r="D4" s="669" t="s">
        <v>389</v>
      </c>
      <c r="E4" s="670"/>
      <c r="F4" s="669" t="s">
        <v>391</v>
      </c>
      <c r="G4" s="670"/>
      <c r="H4" s="671" t="s">
        <v>392</v>
      </c>
      <c r="I4" s="670"/>
    </row>
    <row r="5" spans="1:9" s="122" customFormat="1" ht="13.5" thickBot="1" x14ac:dyDescent="0.25">
      <c r="A5" s="689"/>
      <c r="B5" s="691"/>
      <c r="C5" s="693"/>
      <c r="D5" s="204" t="s">
        <v>133</v>
      </c>
      <c r="E5" s="203" t="s">
        <v>390</v>
      </c>
      <c r="F5" s="204" t="s">
        <v>133</v>
      </c>
      <c r="G5" s="203" t="s">
        <v>390</v>
      </c>
      <c r="H5" s="208" t="s">
        <v>133</v>
      </c>
      <c r="I5" s="203" t="s">
        <v>390</v>
      </c>
    </row>
    <row r="6" spans="1:9" x14ac:dyDescent="0.2">
      <c r="A6" s="206" t="s">
        <v>255</v>
      </c>
      <c r="B6" s="207">
        <v>6</v>
      </c>
      <c r="C6" s="220">
        <v>0</v>
      </c>
      <c r="D6" s="221">
        <v>2</v>
      </c>
      <c r="E6" s="222">
        <f>ROUND((C6*D6)/B6,2)</f>
        <v>0</v>
      </c>
      <c r="F6" s="221">
        <v>6</v>
      </c>
      <c r="G6" s="223">
        <f>ROUND((C6*F6)/B6,2)</f>
        <v>0</v>
      </c>
      <c r="H6" s="224">
        <v>10</v>
      </c>
      <c r="I6" s="225">
        <f>ROUND((C6*H6)/B6,2)</f>
        <v>0</v>
      </c>
    </row>
    <row r="7" spans="1:9" x14ac:dyDescent="0.2">
      <c r="A7" s="205" t="s">
        <v>256</v>
      </c>
      <c r="B7" s="209">
        <v>12</v>
      </c>
      <c r="C7" s="215">
        <v>0</v>
      </c>
      <c r="D7" s="216">
        <v>1</v>
      </c>
      <c r="E7" s="217">
        <f>ROUND((C7*D7)/B7,2)</f>
        <v>0</v>
      </c>
      <c r="F7" s="216">
        <v>1</v>
      </c>
      <c r="G7" s="219">
        <f>ROUND((C7*F7)/B7,2)</f>
        <v>0</v>
      </c>
      <c r="H7" s="218">
        <v>1</v>
      </c>
      <c r="I7" s="213">
        <f>ROUND((C7*H7)/B7,2)</f>
        <v>0</v>
      </c>
    </row>
    <row r="8" spans="1:9" s="1191" customFormat="1" ht="25.5" x14ac:dyDescent="0.2">
      <c r="A8" s="214" t="s">
        <v>318</v>
      </c>
      <c r="B8" s="1184">
        <v>6</v>
      </c>
      <c r="C8" s="1185">
        <v>0</v>
      </c>
      <c r="D8" s="1186">
        <v>2</v>
      </c>
      <c r="E8" s="1187">
        <f t="shared" ref="E8:E68" si="0">ROUND((C8*D8)/B8,2)</f>
        <v>0</v>
      </c>
      <c r="F8" s="1186">
        <v>8</v>
      </c>
      <c r="G8" s="1188">
        <f t="shared" ref="G8:G68" si="1">ROUND((C8*F8)/B8,2)</f>
        <v>0</v>
      </c>
      <c r="H8" s="1189">
        <v>6</v>
      </c>
      <c r="I8" s="1190">
        <f t="shared" ref="I8:I68" si="2">ROUND((C8*H8)/B8,2)</f>
        <v>0</v>
      </c>
    </row>
    <row r="9" spans="1:9" x14ac:dyDescent="0.2">
      <c r="A9" s="205" t="s">
        <v>319</v>
      </c>
      <c r="B9" s="209">
        <v>12</v>
      </c>
      <c r="C9" s="215">
        <v>0</v>
      </c>
      <c r="D9" s="216">
        <v>2</v>
      </c>
      <c r="E9" s="217">
        <f t="shared" si="0"/>
        <v>0</v>
      </c>
      <c r="F9" s="216">
        <v>4</v>
      </c>
      <c r="G9" s="219">
        <f t="shared" si="1"/>
        <v>0</v>
      </c>
      <c r="H9" s="218">
        <v>5</v>
      </c>
      <c r="I9" s="213">
        <f t="shared" si="2"/>
        <v>0</v>
      </c>
    </row>
    <row r="10" spans="1:9" x14ac:dyDescent="0.2">
      <c r="A10" s="205" t="s">
        <v>320</v>
      </c>
      <c r="B10" s="209">
        <v>3</v>
      </c>
      <c r="C10" s="215">
        <v>0</v>
      </c>
      <c r="D10" s="216">
        <v>1</v>
      </c>
      <c r="E10" s="217">
        <f t="shared" si="0"/>
        <v>0</v>
      </c>
      <c r="F10" s="216">
        <v>4</v>
      </c>
      <c r="G10" s="219">
        <f t="shared" si="1"/>
        <v>0</v>
      </c>
      <c r="H10" s="218">
        <v>0</v>
      </c>
      <c r="I10" s="213">
        <f t="shared" si="2"/>
        <v>0</v>
      </c>
    </row>
    <row r="11" spans="1:9" x14ac:dyDescent="0.2">
      <c r="A11" s="205" t="s">
        <v>257</v>
      </c>
      <c r="B11" s="209">
        <v>3</v>
      </c>
      <c r="C11" s="215">
        <v>0</v>
      </c>
      <c r="D11" s="216">
        <v>1</v>
      </c>
      <c r="E11" s="217">
        <f t="shared" si="0"/>
        <v>0</v>
      </c>
      <c r="F11" s="216">
        <v>2</v>
      </c>
      <c r="G11" s="219">
        <f t="shared" si="1"/>
        <v>0</v>
      </c>
      <c r="H11" s="218">
        <v>5</v>
      </c>
      <c r="I11" s="213">
        <f t="shared" si="2"/>
        <v>0</v>
      </c>
    </row>
    <row r="12" spans="1:9" x14ac:dyDescent="0.2">
      <c r="A12" s="205" t="s">
        <v>220</v>
      </c>
      <c r="B12" s="209">
        <v>3</v>
      </c>
      <c r="C12" s="215">
        <v>0</v>
      </c>
      <c r="D12" s="216">
        <v>1</v>
      </c>
      <c r="E12" s="217">
        <f t="shared" si="0"/>
        <v>0</v>
      </c>
      <c r="F12" s="216">
        <v>10</v>
      </c>
      <c r="G12" s="219">
        <f t="shared" si="1"/>
        <v>0</v>
      </c>
      <c r="H12" s="218">
        <v>5</v>
      </c>
      <c r="I12" s="213">
        <f t="shared" si="2"/>
        <v>0</v>
      </c>
    </row>
    <row r="13" spans="1:9" x14ac:dyDescent="0.2">
      <c r="A13" s="205" t="s">
        <v>321</v>
      </c>
      <c r="B13" s="209">
        <v>6</v>
      </c>
      <c r="C13" s="215">
        <v>0</v>
      </c>
      <c r="D13" s="216">
        <v>1</v>
      </c>
      <c r="E13" s="217">
        <f t="shared" si="0"/>
        <v>0</v>
      </c>
      <c r="F13" s="216">
        <v>3</v>
      </c>
      <c r="G13" s="219">
        <f t="shared" si="1"/>
        <v>0</v>
      </c>
      <c r="H13" s="218">
        <v>1</v>
      </c>
      <c r="I13" s="213">
        <f t="shared" si="2"/>
        <v>0</v>
      </c>
    </row>
    <row r="14" spans="1:9" x14ac:dyDescent="0.2">
      <c r="A14" s="205" t="s">
        <v>322</v>
      </c>
      <c r="B14" s="209">
        <v>12</v>
      </c>
      <c r="C14" s="215">
        <v>0</v>
      </c>
      <c r="D14" s="216">
        <v>1</v>
      </c>
      <c r="E14" s="217">
        <f t="shared" si="0"/>
        <v>0</v>
      </c>
      <c r="F14" s="216">
        <v>1</v>
      </c>
      <c r="G14" s="219">
        <f t="shared" si="1"/>
        <v>0</v>
      </c>
      <c r="H14" s="218">
        <v>1</v>
      </c>
      <c r="I14" s="213">
        <f t="shared" si="2"/>
        <v>0</v>
      </c>
    </row>
    <row r="15" spans="1:9" x14ac:dyDescent="0.2">
      <c r="A15" s="205" t="s">
        <v>221</v>
      </c>
      <c r="B15" s="209">
        <v>1</v>
      </c>
      <c r="C15" s="215">
        <v>0</v>
      </c>
      <c r="D15" s="216">
        <v>4</v>
      </c>
      <c r="E15" s="217">
        <f t="shared" si="0"/>
        <v>0</v>
      </c>
      <c r="F15" s="216">
        <v>20</v>
      </c>
      <c r="G15" s="219">
        <f t="shared" si="1"/>
        <v>0</v>
      </c>
      <c r="H15" s="218">
        <v>15</v>
      </c>
      <c r="I15" s="213">
        <f t="shared" si="2"/>
        <v>0</v>
      </c>
    </row>
    <row r="16" spans="1:9" x14ac:dyDescent="0.2">
      <c r="A16" s="205" t="s">
        <v>323</v>
      </c>
      <c r="B16" s="209">
        <v>12</v>
      </c>
      <c r="C16" s="215">
        <v>0</v>
      </c>
      <c r="D16" s="216">
        <v>2</v>
      </c>
      <c r="E16" s="217">
        <f t="shared" si="0"/>
        <v>0</v>
      </c>
      <c r="F16" s="216">
        <v>3</v>
      </c>
      <c r="G16" s="219">
        <f t="shared" si="1"/>
        <v>0</v>
      </c>
      <c r="H16" s="218">
        <v>1</v>
      </c>
      <c r="I16" s="213">
        <f t="shared" si="2"/>
        <v>0</v>
      </c>
    </row>
    <row r="17" spans="1:9" x14ac:dyDescent="0.2">
      <c r="A17" s="205" t="s">
        <v>258</v>
      </c>
      <c r="B17" s="209">
        <v>12</v>
      </c>
      <c r="C17" s="215">
        <v>0</v>
      </c>
      <c r="D17" s="216">
        <v>1</v>
      </c>
      <c r="E17" s="217">
        <f t="shared" si="0"/>
        <v>0</v>
      </c>
      <c r="F17" s="216">
        <v>100</v>
      </c>
      <c r="G17" s="219">
        <f t="shared" si="1"/>
        <v>0</v>
      </c>
      <c r="H17" s="218">
        <v>6</v>
      </c>
      <c r="I17" s="213">
        <f t="shared" si="2"/>
        <v>0</v>
      </c>
    </row>
    <row r="18" spans="1:9" x14ac:dyDescent="0.2">
      <c r="A18" s="205" t="s">
        <v>222</v>
      </c>
      <c r="B18" s="209">
        <v>3</v>
      </c>
      <c r="C18" s="215">
        <v>0</v>
      </c>
      <c r="D18" s="216">
        <v>1</v>
      </c>
      <c r="E18" s="217">
        <f t="shared" si="0"/>
        <v>0</v>
      </c>
      <c r="F18" s="216">
        <v>2</v>
      </c>
      <c r="G18" s="219">
        <f t="shared" si="1"/>
        <v>0</v>
      </c>
      <c r="H18" s="218">
        <v>5</v>
      </c>
      <c r="I18" s="213">
        <f t="shared" si="2"/>
        <v>0</v>
      </c>
    </row>
    <row r="19" spans="1:9" x14ac:dyDescent="0.2">
      <c r="A19" s="205" t="s">
        <v>324</v>
      </c>
      <c r="B19" s="209">
        <v>12</v>
      </c>
      <c r="C19" s="215">
        <v>0</v>
      </c>
      <c r="D19" s="216">
        <v>1</v>
      </c>
      <c r="E19" s="217">
        <f t="shared" si="0"/>
        <v>0</v>
      </c>
      <c r="F19" s="216">
        <v>4</v>
      </c>
      <c r="G19" s="219">
        <f t="shared" si="1"/>
        <v>0</v>
      </c>
      <c r="H19" s="218">
        <v>2</v>
      </c>
      <c r="I19" s="213">
        <f t="shared" si="2"/>
        <v>0</v>
      </c>
    </row>
    <row r="20" spans="1:9" x14ac:dyDescent="0.2">
      <c r="A20" s="205" t="s">
        <v>259</v>
      </c>
      <c r="B20" s="209">
        <v>3</v>
      </c>
      <c r="C20" s="215">
        <v>0</v>
      </c>
      <c r="D20" s="216">
        <v>2</v>
      </c>
      <c r="E20" s="217">
        <f t="shared" si="0"/>
        <v>0</v>
      </c>
      <c r="F20" s="216">
        <v>5</v>
      </c>
      <c r="G20" s="219">
        <f t="shared" si="1"/>
        <v>0</v>
      </c>
      <c r="H20" s="218">
        <v>5</v>
      </c>
      <c r="I20" s="213">
        <f t="shared" si="2"/>
        <v>0</v>
      </c>
    </row>
    <row r="21" spans="1:9" x14ac:dyDescent="0.2">
      <c r="A21" s="205" t="s">
        <v>223</v>
      </c>
      <c r="B21" s="209">
        <v>1</v>
      </c>
      <c r="C21" s="215">
        <v>0</v>
      </c>
      <c r="D21" s="216">
        <v>2</v>
      </c>
      <c r="E21" s="217">
        <f t="shared" si="0"/>
        <v>0</v>
      </c>
      <c r="F21" s="216">
        <v>9</v>
      </c>
      <c r="G21" s="219">
        <f t="shared" si="1"/>
        <v>0</v>
      </c>
      <c r="H21" s="218">
        <v>20</v>
      </c>
      <c r="I21" s="213">
        <f t="shared" si="2"/>
        <v>0</v>
      </c>
    </row>
    <row r="22" spans="1:9" x14ac:dyDescent="0.2">
      <c r="A22" s="205" t="s">
        <v>224</v>
      </c>
      <c r="B22" s="209">
        <v>1</v>
      </c>
      <c r="C22" s="215">
        <v>0</v>
      </c>
      <c r="D22" s="216">
        <v>4</v>
      </c>
      <c r="E22" s="217">
        <f t="shared" si="0"/>
        <v>0</v>
      </c>
      <c r="F22" s="216">
        <v>20</v>
      </c>
      <c r="G22" s="219">
        <f t="shared" si="1"/>
        <v>0</v>
      </c>
      <c r="H22" s="218">
        <v>20</v>
      </c>
      <c r="I22" s="213">
        <f t="shared" si="2"/>
        <v>0</v>
      </c>
    </row>
    <row r="23" spans="1:9" x14ac:dyDescent="0.2">
      <c r="A23" s="205" t="s">
        <v>260</v>
      </c>
      <c r="B23" s="209">
        <v>12</v>
      </c>
      <c r="C23" s="215">
        <v>0</v>
      </c>
      <c r="D23" s="216">
        <v>1</v>
      </c>
      <c r="E23" s="217">
        <f t="shared" si="0"/>
        <v>0</v>
      </c>
      <c r="F23" s="216">
        <v>4</v>
      </c>
      <c r="G23" s="219">
        <f t="shared" si="1"/>
        <v>0</v>
      </c>
      <c r="H23" s="218">
        <v>0</v>
      </c>
      <c r="I23" s="213">
        <f t="shared" si="2"/>
        <v>0</v>
      </c>
    </row>
    <row r="24" spans="1:9" x14ac:dyDescent="0.2">
      <c r="A24" s="205" t="s">
        <v>325</v>
      </c>
      <c r="B24" s="209">
        <v>12</v>
      </c>
      <c r="C24" s="215">
        <v>0</v>
      </c>
      <c r="D24" s="216">
        <v>1</v>
      </c>
      <c r="E24" s="217">
        <f t="shared" si="0"/>
        <v>0</v>
      </c>
      <c r="F24" s="216">
        <v>1</v>
      </c>
      <c r="G24" s="219">
        <f t="shared" si="1"/>
        <v>0</v>
      </c>
      <c r="H24" s="218">
        <v>5</v>
      </c>
      <c r="I24" s="213">
        <f t="shared" si="2"/>
        <v>0</v>
      </c>
    </row>
    <row r="25" spans="1:9" x14ac:dyDescent="0.2">
      <c r="A25" s="205" t="s">
        <v>326</v>
      </c>
      <c r="B25" s="209">
        <v>3</v>
      </c>
      <c r="C25" s="215">
        <v>0</v>
      </c>
      <c r="D25" s="216">
        <v>0</v>
      </c>
      <c r="E25" s="217">
        <f t="shared" si="0"/>
        <v>0</v>
      </c>
      <c r="F25" s="216">
        <v>0</v>
      </c>
      <c r="G25" s="219">
        <f t="shared" si="1"/>
        <v>0</v>
      </c>
      <c r="H25" s="218">
        <v>8</v>
      </c>
      <c r="I25" s="213">
        <f t="shared" si="2"/>
        <v>0</v>
      </c>
    </row>
    <row r="26" spans="1:9" x14ac:dyDescent="0.2">
      <c r="A26" s="205" t="s">
        <v>261</v>
      </c>
      <c r="B26" s="209">
        <v>3</v>
      </c>
      <c r="C26" s="215">
        <v>0</v>
      </c>
      <c r="D26" s="216">
        <v>1</v>
      </c>
      <c r="E26" s="217">
        <f t="shared" si="0"/>
        <v>0</v>
      </c>
      <c r="F26" s="216">
        <v>6</v>
      </c>
      <c r="G26" s="219">
        <f t="shared" si="1"/>
        <v>0</v>
      </c>
      <c r="H26" s="218">
        <v>8</v>
      </c>
      <c r="I26" s="213">
        <f t="shared" si="2"/>
        <v>0</v>
      </c>
    </row>
    <row r="27" spans="1:9" x14ac:dyDescent="0.2">
      <c r="A27" s="205" t="s">
        <v>327</v>
      </c>
      <c r="B27" s="209">
        <v>3</v>
      </c>
      <c r="C27" s="215">
        <v>0</v>
      </c>
      <c r="D27" s="216">
        <v>1</v>
      </c>
      <c r="E27" s="217">
        <f t="shared" si="0"/>
        <v>0</v>
      </c>
      <c r="F27" s="216">
        <v>6</v>
      </c>
      <c r="G27" s="219">
        <f t="shared" si="1"/>
        <v>0</v>
      </c>
      <c r="H27" s="218">
        <v>8</v>
      </c>
      <c r="I27" s="213">
        <f t="shared" si="2"/>
        <v>0</v>
      </c>
    </row>
    <row r="28" spans="1:9" x14ac:dyDescent="0.2">
      <c r="A28" s="205" t="s">
        <v>262</v>
      </c>
      <c r="B28" s="209">
        <v>3</v>
      </c>
      <c r="C28" s="215">
        <v>0</v>
      </c>
      <c r="D28" s="216">
        <v>0</v>
      </c>
      <c r="E28" s="217">
        <f t="shared" si="0"/>
        <v>0</v>
      </c>
      <c r="F28" s="216">
        <v>0</v>
      </c>
      <c r="G28" s="219">
        <f t="shared" si="1"/>
        <v>0</v>
      </c>
      <c r="H28" s="218">
        <v>0</v>
      </c>
      <c r="I28" s="213">
        <f t="shared" si="2"/>
        <v>0</v>
      </c>
    </row>
    <row r="29" spans="1:9" x14ac:dyDescent="0.2">
      <c r="A29" s="205" t="s">
        <v>388</v>
      </c>
      <c r="B29" s="209">
        <v>12</v>
      </c>
      <c r="C29" s="215">
        <v>0</v>
      </c>
      <c r="D29" s="216">
        <v>2</v>
      </c>
      <c r="E29" s="217">
        <f t="shared" si="0"/>
        <v>0</v>
      </c>
      <c r="F29" s="216">
        <v>2</v>
      </c>
      <c r="G29" s="219">
        <f t="shared" si="1"/>
        <v>0</v>
      </c>
      <c r="H29" s="218">
        <v>2</v>
      </c>
      <c r="I29" s="213">
        <f t="shared" si="2"/>
        <v>0</v>
      </c>
    </row>
    <row r="30" spans="1:9" x14ac:dyDescent="0.2">
      <c r="A30" s="205" t="s">
        <v>328</v>
      </c>
      <c r="B30" s="209">
        <v>3</v>
      </c>
      <c r="C30" s="215">
        <v>0</v>
      </c>
      <c r="D30" s="216">
        <v>0</v>
      </c>
      <c r="E30" s="217">
        <f t="shared" si="0"/>
        <v>0</v>
      </c>
      <c r="F30" s="216">
        <v>1</v>
      </c>
      <c r="G30" s="219">
        <f t="shared" si="1"/>
        <v>0</v>
      </c>
      <c r="H30" s="218">
        <v>0</v>
      </c>
      <c r="I30" s="213">
        <f t="shared" si="2"/>
        <v>0</v>
      </c>
    </row>
    <row r="31" spans="1:9" x14ac:dyDescent="0.2">
      <c r="A31" s="205" t="s">
        <v>329</v>
      </c>
      <c r="B31" s="209">
        <v>3</v>
      </c>
      <c r="C31" s="215">
        <v>0</v>
      </c>
      <c r="D31" s="216">
        <v>2</v>
      </c>
      <c r="E31" s="217">
        <f t="shared" si="0"/>
        <v>0</v>
      </c>
      <c r="F31" s="216">
        <v>0</v>
      </c>
      <c r="G31" s="219">
        <f t="shared" si="1"/>
        <v>0</v>
      </c>
      <c r="H31" s="218">
        <v>4</v>
      </c>
      <c r="I31" s="213">
        <f t="shared" si="2"/>
        <v>0</v>
      </c>
    </row>
    <row r="32" spans="1:9" x14ac:dyDescent="0.2">
      <c r="A32" s="205" t="s">
        <v>330</v>
      </c>
      <c r="B32" s="209">
        <v>3</v>
      </c>
      <c r="C32" s="215">
        <v>0</v>
      </c>
      <c r="D32" s="216">
        <v>2</v>
      </c>
      <c r="E32" s="217">
        <f t="shared" si="0"/>
        <v>0</v>
      </c>
      <c r="F32" s="216">
        <v>3</v>
      </c>
      <c r="G32" s="219">
        <f t="shared" si="1"/>
        <v>0</v>
      </c>
      <c r="H32" s="218">
        <v>6</v>
      </c>
      <c r="I32" s="213">
        <f t="shared" si="2"/>
        <v>0</v>
      </c>
    </row>
    <row r="33" spans="1:9" x14ac:dyDescent="0.2">
      <c r="A33" s="205" t="s">
        <v>331</v>
      </c>
      <c r="B33" s="209">
        <v>3</v>
      </c>
      <c r="C33" s="215">
        <v>0</v>
      </c>
      <c r="D33" s="216">
        <v>2</v>
      </c>
      <c r="E33" s="217">
        <f t="shared" si="0"/>
        <v>0</v>
      </c>
      <c r="F33" s="216">
        <v>3</v>
      </c>
      <c r="G33" s="219">
        <f t="shared" si="1"/>
        <v>0</v>
      </c>
      <c r="H33" s="218">
        <v>6</v>
      </c>
      <c r="I33" s="213">
        <f t="shared" si="2"/>
        <v>0</v>
      </c>
    </row>
    <row r="34" spans="1:9" x14ac:dyDescent="0.2">
      <c r="A34" s="205" t="s">
        <v>332</v>
      </c>
      <c r="B34" s="209">
        <v>3</v>
      </c>
      <c r="C34" s="215">
        <v>0</v>
      </c>
      <c r="D34" s="216">
        <v>1</v>
      </c>
      <c r="E34" s="217">
        <f t="shared" si="0"/>
        <v>0</v>
      </c>
      <c r="F34" s="216">
        <v>0</v>
      </c>
      <c r="G34" s="219">
        <f t="shared" si="1"/>
        <v>0</v>
      </c>
      <c r="H34" s="218">
        <v>6</v>
      </c>
      <c r="I34" s="213">
        <f t="shared" si="2"/>
        <v>0</v>
      </c>
    </row>
    <row r="35" spans="1:9" x14ac:dyDescent="0.2">
      <c r="A35" s="205" t="s">
        <v>263</v>
      </c>
      <c r="B35" s="209">
        <v>3</v>
      </c>
      <c r="C35" s="215">
        <v>0</v>
      </c>
      <c r="D35" s="216">
        <v>1</v>
      </c>
      <c r="E35" s="217">
        <f t="shared" si="0"/>
        <v>0</v>
      </c>
      <c r="F35" s="216">
        <v>0</v>
      </c>
      <c r="G35" s="219">
        <f t="shared" si="1"/>
        <v>0</v>
      </c>
      <c r="H35" s="218">
        <v>6</v>
      </c>
      <c r="I35" s="213">
        <f t="shared" si="2"/>
        <v>0</v>
      </c>
    </row>
    <row r="36" spans="1:9" x14ac:dyDescent="0.2">
      <c r="A36" s="205" t="s">
        <v>333</v>
      </c>
      <c r="B36" s="209">
        <v>3</v>
      </c>
      <c r="C36" s="215">
        <v>0</v>
      </c>
      <c r="D36" s="216">
        <v>0</v>
      </c>
      <c r="E36" s="217">
        <f t="shared" si="0"/>
        <v>0</v>
      </c>
      <c r="F36" s="216">
        <v>5</v>
      </c>
      <c r="G36" s="219">
        <f t="shared" si="1"/>
        <v>0</v>
      </c>
      <c r="H36" s="218">
        <v>0</v>
      </c>
      <c r="I36" s="213">
        <f t="shared" si="2"/>
        <v>0</v>
      </c>
    </row>
    <row r="37" spans="1:9" x14ac:dyDescent="0.2">
      <c r="A37" s="205" t="s">
        <v>264</v>
      </c>
      <c r="B37" s="209">
        <v>3</v>
      </c>
      <c r="C37" s="215">
        <v>0</v>
      </c>
      <c r="D37" s="216">
        <v>0</v>
      </c>
      <c r="E37" s="217">
        <f t="shared" si="0"/>
        <v>0</v>
      </c>
      <c r="F37" s="216">
        <v>0</v>
      </c>
      <c r="G37" s="219">
        <f t="shared" si="1"/>
        <v>0</v>
      </c>
      <c r="H37" s="218">
        <v>0</v>
      </c>
      <c r="I37" s="213">
        <f t="shared" si="2"/>
        <v>0</v>
      </c>
    </row>
    <row r="38" spans="1:9" x14ac:dyDescent="0.2">
      <c r="A38" s="205" t="s">
        <v>334</v>
      </c>
      <c r="B38" s="209">
        <v>3</v>
      </c>
      <c r="C38" s="215">
        <v>0</v>
      </c>
      <c r="D38" s="216">
        <v>0</v>
      </c>
      <c r="E38" s="217">
        <f t="shared" si="0"/>
        <v>0</v>
      </c>
      <c r="F38" s="216">
        <v>10</v>
      </c>
      <c r="G38" s="219">
        <f t="shared" si="1"/>
        <v>0</v>
      </c>
      <c r="H38" s="218">
        <v>0</v>
      </c>
      <c r="I38" s="213">
        <f t="shared" si="2"/>
        <v>0</v>
      </c>
    </row>
    <row r="39" spans="1:9" x14ac:dyDescent="0.2">
      <c r="A39" s="205" t="s">
        <v>335</v>
      </c>
      <c r="B39" s="209">
        <v>3</v>
      </c>
      <c r="C39" s="215">
        <v>0</v>
      </c>
      <c r="D39" s="216">
        <v>0</v>
      </c>
      <c r="E39" s="217">
        <f t="shared" si="0"/>
        <v>0</v>
      </c>
      <c r="F39" s="216">
        <v>0</v>
      </c>
      <c r="G39" s="219">
        <f t="shared" si="1"/>
        <v>0</v>
      </c>
      <c r="H39" s="218">
        <v>15</v>
      </c>
      <c r="I39" s="213">
        <f t="shared" si="2"/>
        <v>0</v>
      </c>
    </row>
    <row r="40" spans="1:9" x14ac:dyDescent="0.2">
      <c r="A40" s="205" t="s">
        <v>336</v>
      </c>
      <c r="B40" s="209">
        <v>12</v>
      </c>
      <c r="C40" s="215">
        <v>0</v>
      </c>
      <c r="D40" s="216">
        <v>0</v>
      </c>
      <c r="E40" s="217">
        <f t="shared" si="0"/>
        <v>0</v>
      </c>
      <c r="F40" s="216">
        <v>0</v>
      </c>
      <c r="G40" s="219">
        <f t="shared" si="1"/>
        <v>0</v>
      </c>
      <c r="H40" s="218">
        <v>5</v>
      </c>
      <c r="I40" s="213">
        <f t="shared" si="2"/>
        <v>0</v>
      </c>
    </row>
    <row r="41" spans="1:9" x14ac:dyDescent="0.2">
      <c r="A41" s="205" t="s">
        <v>337</v>
      </c>
      <c r="B41" s="209">
        <v>1</v>
      </c>
      <c r="C41" s="215">
        <v>0</v>
      </c>
      <c r="D41" s="216">
        <v>0</v>
      </c>
      <c r="E41" s="217">
        <f t="shared" si="0"/>
        <v>0</v>
      </c>
      <c r="F41" s="216">
        <v>0</v>
      </c>
      <c r="G41" s="219">
        <f t="shared" si="1"/>
        <v>0</v>
      </c>
      <c r="H41" s="218">
        <v>0</v>
      </c>
      <c r="I41" s="213">
        <f t="shared" si="2"/>
        <v>0</v>
      </c>
    </row>
    <row r="42" spans="1:9" x14ac:dyDescent="0.2">
      <c r="A42" s="205" t="s">
        <v>280</v>
      </c>
      <c r="B42" s="209">
        <v>3</v>
      </c>
      <c r="C42" s="215">
        <v>0</v>
      </c>
      <c r="D42" s="216">
        <v>0</v>
      </c>
      <c r="E42" s="217">
        <f t="shared" si="0"/>
        <v>0</v>
      </c>
      <c r="F42" s="216">
        <v>0</v>
      </c>
      <c r="G42" s="219">
        <f t="shared" si="1"/>
        <v>0</v>
      </c>
      <c r="H42" s="218">
        <v>15</v>
      </c>
      <c r="I42" s="213">
        <f t="shared" si="2"/>
        <v>0</v>
      </c>
    </row>
    <row r="43" spans="1:9" ht="25.5" x14ac:dyDescent="0.2">
      <c r="A43" s="214" t="s">
        <v>338</v>
      </c>
      <c r="B43" s="209">
        <v>1</v>
      </c>
      <c r="C43" s="215">
        <v>0</v>
      </c>
      <c r="D43" s="216">
        <v>4</v>
      </c>
      <c r="E43" s="217">
        <f t="shared" si="0"/>
        <v>0</v>
      </c>
      <c r="F43" s="216">
        <v>10</v>
      </c>
      <c r="G43" s="219">
        <f t="shared" si="1"/>
        <v>0</v>
      </c>
      <c r="H43" s="218">
        <v>80</v>
      </c>
      <c r="I43" s="213">
        <f t="shared" si="2"/>
        <v>0</v>
      </c>
    </row>
    <row r="44" spans="1:9" ht="38.25" x14ac:dyDescent="0.2">
      <c r="A44" s="214" t="s">
        <v>339</v>
      </c>
      <c r="B44" s="209">
        <v>1</v>
      </c>
      <c r="C44" s="215">
        <v>0</v>
      </c>
      <c r="D44" s="216">
        <v>32</v>
      </c>
      <c r="E44" s="217">
        <f t="shared" si="0"/>
        <v>0</v>
      </c>
      <c r="F44" s="216">
        <v>27</v>
      </c>
      <c r="G44" s="219">
        <f t="shared" si="1"/>
        <v>0</v>
      </c>
      <c r="H44" s="218">
        <v>150</v>
      </c>
      <c r="I44" s="213">
        <f t="shared" si="2"/>
        <v>0</v>
      </c>
    </row>
    <row r="45" spans="1:9" ht="38.25" x14ac:dyDescent="0.2">
      <c r="A45" s="214" t="s">
        <v>340</v>
      </c>
      <c r="B45" s="209">
        <v>1</v>
      </c>
      <c r="C45" s="215">
        <v>0</v>
      </c>
      <c r="D45" s="216">
        <v>0</v>
      </c>
      <c r="E45" s="217">
        <f t="shared" si="0"/>
        <v>0</v>
      </c>
      <c r="F45" s="216">
        <v>0</v>
      </c>
      <c r="G45" s="219">
        <f t="shared" si="1"/>
        <v>0</v>
      </c>
      <c r="H45" s="218">
        <v>0</v>
      </c>
      <c r="I45" s="213">
        <f t="shared" si="2"/>
        <v>0</v>
      </c>
    </row>
    <row r="46" spans="1:9" x14ac:dyDescent="0.2">
      <c r="A46" s="205" t="s">
        <v>341</v>
      </c>
      <c r="B46" s="209">
        <v>1</v>
      </c>
      <c r="C46" s="215">
        <v>0</v>
      </c>
      <c r="D46" s="216">
        <v>4</v>
      </c>
      <c r="E46" s="217">
        <f t="shared" si="0"/>
        <v>0</v>
      </c>
      <c r="F46" s="216">
        <v>200</v>
      </c>
      <c r="G46" s="219">
        <f t="shared" si="1"/>
        <v>0</v>
      </c>
      <c r="H46" s="218">
        <v>40</v>
      </c>
      <c r="I46" s="213">
        <f t="shared" si="2"/>
        <v>0</v>
      </c>
    </row>
    <row r="47" spans="1:9" x14ac:dyDescent="0.2">
      <c r="A47" s="205" t="s">
        <v>342</v>
      </c>
      <c r="B47" s="209">
        <v>3</v>
      </c>
      <c r="C47" s="215">
        <v>0</v>
      </c>
      <c r="D47" s="216">
        <v>4</v>
      </c>
      <c r="E47" s="217">
        <f t="shared" si="0"/>
        <v>0</v>
      </c>
      <c r="F47" s="216">
        <v>6</v>
      </c>
      <c r="G47" s="219">
        <f t="shared" si="1"/>
        <v>0</v>
      </c>
      <c r="H47" s="218">
        <v>1</v>
      </c>
      <c r="I47" s="213">
        <f t="shared" si="2"/>
        <v>0</v>
      </c>
    </row>
    <row r="48" spans="1:9" x14ac:dyDescent="0.2">
      <c r="A48" s="205" t="s">
        <v>343</v>
      </c>
      <c r="B48" s="209">
        <v>12</v>
      </c>
      <c r="C48" s="215">
        <v>0</v>
      </c>
      <c r="D48" s="216">
        <v>2</v>
      </c>
      <c r="E48" s="217">
        <f t="shared" si="0"/>
        <v>0</v>
      </c>
      <c r="F48" s="216">
        <v>7</v>
      </c>
      <c r="G48" s="219">
        <f t="shared" si="1"/>
        <v>0</v>
      </c>
      <c r="H48" s="218">
        <v>30</v>
      </c>
      <c r="I48" s="213">
        <f t="shared" si="2"/>
        <v>0</v>
      </c>
    </row>
    <row r="49" spans="1:9" x14ac:dyDescent="0.2">
      <c r="A49" s="205" t="s">
        <v>344</v>
      </c>
      <c r="B49" s="209">
        <v>12</v>
      </c>
      <c r="C49" s="215">
        <v>0</v>
      </c>
      <c r="D49" s="216">
        <v>4</v>
      </c>
      <c r="E49" s="217">
        <f t="shared" si="0"/>
        <v>0</v>
      </c>
      <c r="F49" s="216">
        <v>5</v>
      </c>
      <c r="G49" s="219">
        <f t="shared" si="1"/>
        <v>0</v>
      </c>
      <c r="H49" s="218">
        <v>30</v>
      </c>
      <c r="I49" s="213">
        <f t="shared" si="2"/>
        <v>0</v>
      </c>
    </row>
    <row r="50" spans="1:9" x14ac:dyDescent="0.2">
      <c r="A50" s="205" t="s">
        <v>345</v>
      </c>
      <c r="B50" s="209">
        <v>12</v>
      </c>
      <c r="C50" s="215">
        <v>0</v>
      </c>
      <c r="D50" s="216">
        <v>3</v>
      </c>
      <c r="E50" s="217">
        <f t="shared" si="0"/>
        <v>0</v>
      </c>
      <c r="F50" s="216">
        <v>20</v>
      </c>
      <c r="G50" s="219">
        <f t="shared" si="1"/>
        <v>0</v>
      </c>
      <c r="H50" s="218">
        <v>0</v>
      </c>
      <c r="I50" s="213">
        <f t="shared" si="2"/>
        <v>0</v>
      </c>
    </row>
    <row r="51" spans="1:9" x14ac:dyDescent="0.2">
      <c r="A51" s="205" t="s">
        <v>346</v>
      </c>
      <c r="B51" s="209">
        <v>12</v>
      </c>
      <c r="C51" s="215">
        <v>0</v>
      </c>
      <c r="D51" s="216">
        <v>3</v>
      </c>
      <c r="E51" s="217">
        <f t="shared" si="0"/>
        <v>0</v>
      </c>
      <c r="F51" s="216">
        <v>20</v>
      </c>
      <c r="G51" s="219">
        <f t="shared" si="1"/>
        <v>0</v>
      </c>
      <c r="H51" s="218">
        <v>0</v>
      </c>
      <c r="I51" s="213">
        <f t="shared" si="2"/>
        <v>0</v>
      </c>
    </row>
    <row r="52" spans="1:9" x14ac:dyDescent="0.2">
      <c r="A52" s="205" t="s">
        <v>347</v>
      </c>
      <c r="B52" s="209">
        <v>1</v>
      </c>
      <c r="C52" s="215">
        <v>0</v>
      </c>
      <c r="D52" s="216">
        <v>3</v>
      </c>
      <c r="E52" s="217">
        <f t="shared" si="0"/>
        <v>0</v>
      </c>
      <c r="F52" s="216">
        <v>4</v>
      </c>
      <c r="G52" s="219">
        <f t="shared" si="1"/>
        <v>0</v>
      </c>
      <c r="H52" s="218">
        <v>10</v>
      </c>
      <c r="I52" s="213">
        <f t="shared" si="2"/>
        <v>0</v>
      </c>
    </row>
    <row r="53" spans="1:9" x14ac:dyDescent="0.2">
      <c r="A53" s="205" t="s">
        <v>265</v>
      </c>
      <c r="B53" s="209">
        <v>1</v>
      </c>
      <c r="C53" s="215">
        <v>0</v>
      </c>
      <c r="D53" s="216">
        <v>3</v>
      </c>
      <c r="E53" s="217">
        <f t="shared" si="0"/>
        <v>0</v>
      </c>
      <c r="F53" s="216">
        <v>20</v>
      </c>
      <c r="G53" s="219">
        <f t="shared" si="1"/>
        <v>0</v>
      </c>
      <c r="H53" s="218">
        <v>20</v>
      </c>
      <c r="I53" s="213">
        <f t="shared" si="2"/>
        <v>0</v>
      </c>
    </row>
    <row r="54" spans="1:9" x14ac:dyDescent="0.2">
      <c r="A54" s="205" t="s">
        <v>266</v>
      </c>
      <c r="B54" s="209">
        <v>1</v>
      </c>
      <c r="C54" s="215">
        <v>0</v>
      </c>
      <c r="D54" s="216">
        <v>6</v>
      </c>
      <c r="E54" s="217">
        <f t="shared" si="0"/>
        <v>0</v>
      </c>
      <c r="F54" s="216">
        <v>5</v>
      </c>
      <c r="G54" s="219">
        <f t="shared" si="1"/>
        <v>0</v>
      </c>
      <c r="H54" s="218">
        <v>60</v>
      </c>
      <c r="I54" s="213">
        <f t="shared" si="2"/>
        <v>0</v>
      </c>
    </row>
    <row r="55" spans="1:9" x14ac:dyDescent="0.2">
      <c r="A55" s="205" t="s">
        <v>267</v>
      </c>
      <c r="B55" s="209">
        <v>1</v>
      </c>
      <c r="C55" s="215">
        <v>0</v>
      </c>
      <c r="D55" s="216">
        <v>0</v>
      </c>
      <c r="E55" s="217">
        <f t="shared" si="0"/>
        <v>0</v>
      </c>
      <c r="F55" s="216">
        <v>4</v>
      </c>
      <c r="G55" s="219">
        <f t="shared" si="1"/>
        <v>0</v>
      </c>
      <c r="H55" s="218">
        <v>0</v>
      </c>
      <c r="I55" s="213">
        <f t="shared" si="2"/>
        <v>0</v>
      </c>
    </row>
    <row r="56" spans="1:9" x14ac:dyDescent="0.2">
      <c r="A56" s="205" t="s">
        <v>268</v>
      </c>
      <c r="B56" s="209">
        <v>1</v>
      </c>
      <c r="C56" s="215">
        <v>0</v>
      </c>
      <c r="D56" s="216">
        <v>0</v>
      </c>
      <c r="E56" s="217">
        <f t="shared" si="0"/>
        <v>0</v>
      </c>
      <c r="F56" s="216">
        <v>10</v>
      </c>
      <c r="G56" s="219">
        <f t="shared" si="1"/>
        <v>0</v>
      </c>
      <c r="H56" s="218">
        <v>0</v>
      </c>
      <c r="I56" s="213">
        <f t="shared" si="2"/>
        <v>0</v>
      </c>
    </row>
    <row r="57" spans="1:9" x14ac:dyDescent="0.2">
      <c r="A57" s="205" t="s">
        <v>235</v>
      </c>
      <c r="B57" s="209">
        <v>1</v>
      </c>
      <c r="C57" s="215">
        <v>0</v>
      </c>
      <c r="D57" s="216">
        <v>8</v>
      </c>
      <c r="E57" s="217">
        <f t="shared" si="0"/>
        <v>0</v>
      </c>
      <c r="F57" s="216">
        <v>2</v>
      </c>
      <c r="G57" s="219">
        <f t="shared" si="1"/>
        <v>0</v>
      </c>
      <c r="H57" s="218">
        <v>5</v>
      </c>
      <c r="I57" s="213">
        <f t="shared" si="2"/>
        <v>0</v>
      </c>
    </row>
    <row r="58" spans="1:9" x14ac:dyDescent="0.2">
      <c r="A58" s="205" t="s">
        <v>269</v>
      </c>
      <c r="B58" s="209">
        <v>1</v>
      </c>
      <c r="C58" s="215">
        <v>0</v>
      </c>
      <c r="D58" s="216">
        <v>5</v>
      </c>
      <c r="E58" s="217">
        <f t="shared" si="0"/>
        <v>0</v>
      </c>
      <c r="F58" s="216">
        <v>4</v>
      </c>
      <c r="G58" s="219">
        <f t="shared" si="1"/>
        <v>0</v>
      </c>
      <c r="H58" s="218">
        <v>15</v>
      </c>
      <c r="I58" s="213">
        <f t="shared" si="2"/>
        <v>0</v>
      </c>
    </row>
    <row r="59" spans="1:9" x14ac:dyDescent="0.2">
      <c r="A59" s="205" t="s">
        <v>270</v>
      </c>
      <c r="B59" s="209">
        <v>1</v>
      </c>
      <c r="C59" s="215">
        <v>0</v>
      </c>
      <c r="D59" s="216">
        <v>0</v>
      </c>
      <c r="E59" s="217">
        <f t="shared" si="0"/>
        <v>0</v>
      </c>
      <c r="F59" s="216">
        <v>2</v>
      </c>
      <c r="G59" s="219">
        <f t="shared" si="1"/>
        <v>0</v>
      </c>
      <c r="H59" s="218">
        <v>5</v>
      </c>
      <c r="I59" s="213">
        <f t="shared" si="2"/>
        <v>0</v>
      </c>
    </row>
    <row r="60" spans="1:9" x14ac:dyDescent="0.2">
      <c r="A60" s="205" t="s">
        <v>271</v>
      </c>
      <c r="B60" s="209">
        <v>2</v>
      </c>
      <c r="C60" s="215">
        <v>0</v>
      </c>
      <c r="D60" s="216">
        <v>18</v>
      </c>
      <c r="E60" s="217">
        <f t="shared" si="0"/>
        <v>0</v>
      </c>
      <c r="F60" s="216">
        <v>8</v>
      </c>
      <c r="G60" s="219">
        <f t="shared" si="1"/>
        <v>0</v>
      </c>
      <c r="H60" s="218">
        <v>5</v>
      </c>
      <c r="I60" s="213">
        <f t="shared" si="2"/>
        <v>0</v>
      </c>
    </row>
    <row r="61" spans="1:9" x14ac:dyDescent="0.2">
      <c r="A61" s="205" t="s">
        <v>272</v>
      </c>
      <c r="B61" s="209">
        <v>1</v>
      </c>
      <c r="C61" s="215">
        <v>0</v>
      </c>
      <c r="D61" s="216">
        <v>12</v>
      </c>
      <c r="E61" s="217">
        <f t="shared" si="0"/>
        <v>0</v>
      </c>
      <c r="F61" s="216">
        <v>0</v>
      </c>
      <c r="G61" s="219">
        <f t="shared" si="1"/>
        <v>0</v>
      </c>
      <c r="H61" s="218">
        <v>50</v>
      </c>
      <c r="I61" s="213">
        <f t="shared" si="2"/>
        <v>0</v>
      </c>
    </row>
    <row r="62" spans="1:9" x14ac:dyDescent="0.2">
      <c r="A62" s="205" t="s">
        <v>273</v>
      </c>
      <c r="B62" s="209">
        <v>1</v>
      </c>
      <c r="C62" s="215">
        <v>0</v>
      </c>
      <c r="D62" s="216">
        <v>0</v>
      </c>
      <c r="E62" s="217">
        <f t="shared" si="0"/>
        <v>0</v>
      </c>
      <c r="F62" s="216">
        <v>1</v>
      </c>
      <c r="G62" s="219">
        <f t="shared" si="1"/>
        <v>0</v>
      </c>
      <c r="H62" s="218">
        <v>50</v>
      </c>
      <c r="I62" s="213">
        <f t="shared" si="2"/>
        <v>0</v>
      </c>
    </row>
    <row r="63" spans="1:9" x14ac:dyDescent="0.2">
      <c r="A63" s="205" t="s">
        <v>274</v>
      </c>
      <c r="B63" s="209">
        <v>1</v>
      </c>
      <c r="C63" s="215">
        <v>0</v>
      </c>
      <c r="D63" s="216">
        <v>10</v>
      </c>
      <c r="E63" s="217">
        <f t="shared" si="0"/>
        <v>0</v>
      </c>
      <c r="F63" s="216">
        <v>5</v>
      </c>
      <c r="G63" s="219">
        <f t="shared" si="1"/>
        <v>0</v>
      </c>
      <c r="H63" s="218">
        <v>50</v>
      </c>
      <c r="I63" s="213">
        <f t="shared" si="2"/>
        <v>0</v>
      </c>
    </row>
    <row r="64" spans="1:9" x14ac:dyDescent="0.2">
      <c r="A64" s="205" t="s">
        <v>348</v>
      </c>
      <c r="B64" s="209">
        <v>1</v>
      </c>
      <c r="C64" s="215">
        <v>0</v>
      </c>
      <c r="D64" s="216">
        <v>0</v>
      </c>
      <c r="E64" s="217">
        <f t="shared" si="0"/>
        <v>0</v>
      </c>
      <c r="F64" s="216">
        <v>0</v>
      </c>
      <c r="G64" s="219">
        <f t="shared" si="1"/>
        <v>0</v>
      </c>
      <c r="H64" s="218">
        <v>20</v>
      </c>
      <c r="I64" s="213">
        <f t="shared" si="2"/>
        <v>0</v>
      </c>
    </row>
    <row r="65" spans="1:9" x14ac:dyDescent="0.2">
      <c r="A65" s="205" t="s">
        <v>275</v>
      </c>
      <c r="B65" s="209">
        <v>1</v>
      </c>
      <c r="C65" s="215">
        <v>0</v>
      </c>
      <c r="D65" s="216">
        <v>3</v>
      </c>
      <c r="E65" s="217">
        <f t="shared" si="0"/>
        <v>0</v>
      </c>
      <c r="F65" s="216">
        <v>5</v>
      </c>
      <c r="G65" s="219">
        <f t="shared" si="1"/>
        <v>0</v>
      </c>
      <c r="H65" s="218">
        <v>0</v>
      </c>
      <c r="I65" s="213">
        <f t="shared" si="2"/>
        <v>0</v>
      </c>
    </row>
    <row r="66" spans="1:9" x14ac:dyDescent="0.2">
      <c r="A66" s="205" t="s">
        <v>349</v>
      </c>
      <c r="B66" s="209">
        <v>1</v>
      </c>
      <c r="C66" s="215">
        <v>0</v>
      </c>
      <c r="D66" s="216">
        <v>0</v>
      </c>
      <c r="E66" s="217">
        <f t="shared" si="0"/>
        <v>0</v>
      </c>
      <c r="F66" s="216">
        <v>0</v>
      </c>
      <c r="G66" s="219">
        <f t="shared" si="1"/>
        <v>0</v>
      </c>
      <c r="H66" s="218">
        <v>2</v>
      </c>
      <c r="I66" s="213">
        <f t="shared" si="2"/>
        <v>0</v>
      </c>
    </row>
    <row r="67" spans="1:9" x14ac:dyDescent="0.2">
      <c r="A67" s="147" t="s">
        <v>350</v>
      </c>
      <c r="B67" s="146">
        <v>12</v>
      </c>
      <c r="C67" s="215">
        <v>0</v>
      </c>
      <c r="D67" s="216">
        <v>0</v>
      </c>
      <c r="E67" s="217">
        <f t="shared" si="0"/>
        <v>0</v>
      </c>
      <c r="F67" s="216">
        <v>0</v>
      </c>
      <c r="G67" s="219">
        <f t="shared" si="1"/>
        <v>0</v>
      </c>
      <c r="H67" s="218">
        <v>0</v>
      </c>
      <c r="I67" s="213">
        <f t="shared" si="2"/>
        <v>0</v>
      </c>
    </row>
    <row r="68" spans="1:9" ht="13.5" thickBot="1" x14ac:dyDescent="0.25">
      <c r="A68" s="232" t="s">
        <v>351</v>
      </c>
      <c r="B68" s="233">
        <v>24</v>
      </c>
      <c r="C68" s="215">
        <v>0</v>
      </c>
      <c r="D68" s="234">
        <v>10</v>
      </c>
      <c r="E68" s="235">
        <f t="shared" si="0"/>
        <v>0</v>
      </c>
      <c r="F68" s="234">
        <v>0</v>
      </c>
      <c r="G68" s="236">
        <f t="shared" si="1"/>
        <v>0</v>
      </c>
      <c r="H68" s="237">
        <v>0</v>
      </c>
      <c r="I68" s="238">
        <f t="shared" si="2"/>
        <v>0</v>
      </c>
    </row>
    <row r="69" spans="1:9" ht="13.5" thickBot="1" x14ac:dyDescent="0.25">
      <c r="A69" s="678" t="s">
        <v>315</v>
      </c>
      <c r="B69" s="679"/>
      <c r="C69" s="679"/>
      <c r="D69" s="230"/>
      <c r="E69" s="421">
        <f>SUM(E6:E68)</f>
        <v>0</v>
      </c>
      <c r="F69" s="230"/>
      <c r="G69" s="421">
        <f>SUM(G6:G68)</f>
        <v>0</v>
      </c>
      <c r="H69" s="231"/>
      <c r="I69" s="422">
        <f>SUM(I6:I68)</f>
        <v>0</v>
      </c>
    </row>
    <row r="70" spans="1:9" ht="13.5" thickBot="1" x14ac:dyDescent="0.25">
      <c r="A70" s="658"/>
      <c r="B70" s="680"/>
      <c r="C70" s="680"/>
      <c r="D70" s="680"/>
      <c r="E70" s="680"/>
      <c r="F70" s="680"/>
      <c r="G70" s="680"/>
      <c r="H70" s="680"/>
      <c r="I70" s="681"/>
    </row>
    <row r="71" spans="1:9" ht="12.75" customHeight="1" x14ac:dyDescent="0.2">
      <c r="A71" s="673" t="s">
        <v>393</v>
      </c>
      <c r="B71" s="690" t="str">
        <f>B4</f>
        <v>Periodicidade / Meses</v>
      </c>
      <c r="C71" s="692" t="str">
        <f>C4</f>
        <v xml:space="preserve">Valor Unitário </v>
      </c>
      <c r="D71" s="669" t="str">
        <f>D4</f>
        <v>CEARA</v>
      </c>
      <c r="E71" s="670"/>
      <c r="F71" s="669" t="str">
        <f>F4</f>
        <v>CEBAU</v>
      </c>
      <c r="G71" s="670"/>
      <c r="H71" s="671" t="str">
        <f>H4</f>
        <v>CERIB</v>
      </c>
      <c r="I71" s="670"/>
    </row>
    <row r="72" spans="1:9" ht="13.5" thickBot="1" x14ac:dyDescent="0.25">
      <c r="A72" s="696"/>
      <c r="B72" s="691"/>
      <c r="C72" s="693"/>
      <c r="D72" s="204" t="str">
        <f>D5</f>
        <v>Quantidade</v>
      </c>
      <c r="E72" s="203" t="str">
        <f>E5</f>
        <v>Valor</v>
      </c>
      <c r="F72" s="204" t="str">
        <f>F5</f>
        <v>Quantidade</v>
      </c>
      <c r="G72" s="203" t="str">
        <f>G5</f>
        <v>Valor</v>
      </c>
      <c r="H72" s="208" t="str">
        <f>H5</f>
        <v>Quantidade</v>
      </c>
      <c r="I72" s="203" t="str">
        <f>I5</f>
        <v>Valor</v>
      </c>
    </row>
    <row r="73" spans="1:9" x14ac:dyDescent="0.2">
      <c r="A73" s="206" t="s">
        <v>276</v>
      </c>
      <c r="B73" s="207">
        <v>24</v>
      </c>
      <c r="C73" s="215">
        <v>0</v>
      </c>
      <c r="D73" s="465">
        <v>1</v>
      </c>
      <c r="E73" s="226">
        <f t="shared" ref="E73:E93" si="3">ROUND((C73*D73)/B73,2)</f>
        <v>0</v>
      </c>
      <c r="F73" s="465">
        <v>3</v>
      </c>
      <c r="G73" s="227">
        <f t="shared" ref="G73:G93" si="4">ROUND((C73*F73)/B73,2)</f>
        <v>0</v>
      </c>
      <c r="H73" s="465">
        <v>3</v>
      </c>
      <c r="I73" s="225">
        <f t="shared" ref="I73:I93" si="5">ROUND((C73*H73)/B73,2)</f>
        <v>0</v>
      </c>
    </row>
    <row r="74" spans="1:9" x14ac:dyDescent="0.2">
      <c r="A74" s="206" t="s">
        <v>353</v>
      </c>
      <c r="B74" s="207">
        <v>24</v>
      </c>
      <c r="C74" s="215">
        <v>0</v>
      </c>
      <c r="D74" s="465">
        <v>1</v>
      </c>
      <c r="E74" s="227">
        <f t="shared" si="3"/>
        <v>0</v>
      </c>
      <c r="F74" s="465">
        <v>1</v>
      </c>
      <c r="G74" s="227">
        <f t="shared" si="4"/>
        <v>0</v>
      </c>
      <c r="H74" s="465">
        <v>2</v>
      </c>
      <c r="I74" s="225">
        <f t="shared" si="5"/>
        <v>0</v>
      </c>
    </row>
    <row r="75" spans="1:9" x14ac:dyDescent="0.2">
      <c r="A75" s="206" t="s">
        <v>354</v>
      </c>
      <c r="B75" s="207">
        <v>12</v>
      </c>
      <c r="C75" s="215">
        <v>0</v>
      </c>
      <c r="D75" s="465">
        <v>1</v>
      </c>
      <c r="E75" s="227">
        <f t="shared" si="3"/>
        <v>0</v>
      </c>
      <c r="F75" s="465">
        <v>2</v>
      </c>
      <c r="G75" s="227">
        <f t="shared" si="4"/>
        <v>0</v>
      </c>
      <c r="H75" s="465">
        <v>3</v>
      </c>
      <c r="I75" s="225">
        <f t="shared" si="5"/>
        <v>0</v>
      </c>
    </row>
    <row r="76" spans="1:9" x14ac:dyDescent="0.2">
      <c r="A76" s="206" t="s">
        <v>477</v>
      </c>
      <c r="B76" s="207">
        <v>24</v>
      </c>
      <c r="C76" s="215">
        <v>0</v>
      </c>
      <c r="D76" s="465">
        <v>1</v>
      </c>
      <c r="E76" s="227">
        <f t="shared" si="3"/>
        <v>0</v>
      </c>
      <c r="F76" s="465">
        <v>3</v>
      </c>
      <c r="G76" s="227">
        <f t="shared" si="4"/>
        <v>0</v>
      </c>
      <c r="H76" s="465">
        <v>1</v>
      </c>
      <c r="I76" s="225">
        <f t="shared" si="5"/>
        <v>0</v>
      </c>
    </row>
    <row r="77" spans="1:9" x14ac:dyDescent="0.2">
      <c r="A77" s="206" t="s">
        <v>277</v>
      </c>
      <c r="B77" s="207">
        <v>24</v>
      </c>
      <c r="C77" s="215">
        <v>0</v>
      </c>
      <c r="D77" s="465">
        <v>1</v>
      </c>
      <c r="E77" s="227">
        <f t="shared" si="3"/>
        <v>0</v>
      </c>
      <c r="F77" s="465">
        <v>4</v>
      </c>
      <c r="G77" s="227">
        <f t="shared" si="4"/>
        <v>0</v>
      </c>
      <c r="H77" s="465">
        <v>1</v>
      </c>
      <c r="I77" s="225">
        <f t="shared" si="5"/>
        <v>0</v>
      </c>
    </row>
    <row r="78" spans="1:9" x14ac:dyDescent="0.2">
      <c r="A78" s="206" t="s">
        <v>355</v>
      </c>
      <c r="B78" s="207">
        <v>60</v>
      </c>
      <c r="C78" s="215">
        <v>0</v>
      </c>
      <c r="D78" s="465">
        <v>2</v>
      </c>
      <c r="E78" s="227">
        <f t="shared" si="3"/>
        <v>0</v>
      </c>
      <c r="F78" s="465">
        <v>0</v>
      </c>
      <c r="G78" s="227">
        <f t="shared" si="4"/>
        <v>0</v>
      </c>
      <c r="H78" s="465">
        <v>0</v>
      </c>
      <c r="I78" s="225">
        <f t="shared" si="5"/>
        <v>0</v>
      </c>
    </row>
    <row r="79" spans="1:9" x14ac:dyDescent="0.2">
      <c r="A79" s="206" t="s">
        <v>356</v>
      </c>
      <c r="B79" s="207">
        <v>60</v>
      </c>
      <c r="C79" s="215">
        <v>0</v>
      </c>
      <c r="D79" s="465">
        <v>0</v>
      </c>
      <c r="E79" s="227">
        <f t="shared" si="3"/>
        <v>0</v>
      </c>
      <c r="F79" s="465">
        <v>0</v>
      </c>
      <c r="G79" s="227">
        <f t="shared" si="4"/>
        <v>0</v>
      </c>
      <c r="H79" s="465">
        <v>0</v>
      </c>
      <c r="I79" s="225">
        <f t="shared" si="5"/>
        <v>0</v>
      </c>
    </row>
    <row r="80" spans="1:9" ht="25.5" x14ac:dyDescent="0.2">
      <c r="A80" s="464" t="s">
        <v>357</v>
      </c>
      <c r="B80" s="207">
        <v>60</v>
      </c>
      <c r="C80" s="215">
        <v>0</v>
      </c>
      <c r="D80" s="465">
        <v>0</v>
      </c>
      <c r="E80" s="227">
        <f t="shared" si="3"/>
        <v>0</v>
      </c>
      <c r="F80" s="465">
        <v>0</v>
      </c>
      <c r="G80" s="227">
        <f t="shared" si="4"/>
        <v>0</v>
      </c>
      <c r="H80" s="465">
        <v>0</v>
      </c>
      <c r="I80" s="225">
        <f t="shared" si="5"/>
        <v>0</v>
      </c>
    </row>
    <row r="81" spans="1:9" x14ac:dyDescent="0.2">
      <c r="A81" s="206" t="s">
        <v>278</v>
      </c>
      <c r="B81" s="207">
        <v>24</v>
      </c>
      <c r="C81" s="215">
        <v>0</v>
      </c>
      <c r="D81" s="465">
        <v>1</v>
      </c>
      <c r="E81" s="227">
        <f t="shared" si="3"/>
        <v>0</v>
      </c>
      <c r="F81" s="465">
        <v>2</v>
      </c>
      <c r="G81" s="227">
        <f t="shared" si="4"/>
        <v>0</v>
      </c>
      <c r="H81" s="465">
        <v>1</v>
      </c>
      <c r="I81" s="225">
        <f t="shared" si="5"/>
        <v>0</v>
      </c>
    </row>
    <row r="82" spans="1:9" x14ac:dyDescent="0.2">
      <c r="A82" s="206" t="s">
        <v>279</v>
      </c>
      <c r="B82" s="207">
        <v>36</v>
      </c>
      <c r="C82" s="215">
        <v>0</v>
      </c>
      <c r="D82" s="465">
        <v>1</v>
      </c>
      <c r="E82" s="227">
        <f t="shared" si="3"/>
        <v>0</v>
      </c>
      <c r="F82" s="465">
        <v>0</v>
      </c>
      <c r="G82" s="227">
        <f t="shared" si="4"/>
        <v>0</v>
      </c>
      <c r="H82" s="465">
        <v>0</v>
      </c>
      <c r="I82" s="225">
        <f t="shared" si="5"/>
        <v>0</v>
      </c>
    </row>
    <row r="83" spans="1:9" x14ac:dyDescent="0.2">
      <c r="A83" s="206" t="s">
        <v>358</v>
      </c>
      <c r="B83" s="207">
        <v>36</v>
      </c>
      <c r="C83" s="215">
        <v>0</v>
      </c>
      <c r="D83" s="465">
        <v>1</v>
      </c>
      <c r="E83" s="227">
        <f t="shared" si="3"/>
        <v>0</v>
      </c>
      <c r="F83" s="465">
        <v>1</v>
      </c>
      <c r="G83" s="227">
        <f t="shared" si="4"/>
        <v>0</v>
      </c>
      <c r="H83" s="465">
        <v>1</v>
      </c>
      <c r="I83" s="225">
        <f t="shared" si="5"/>
        <v>0</v>
      </c>
    </row>
    <row r="84" spans="1:9" x14ac:dyDescent="0.2">
      <c r="A84" s="206" t="s">
        <v>337</v>
      </c>
      <c r="B84" s="207">
        <v>36</v>
      </c>
      <c r="C84" s="215">
        <v>0</v>
      </c>
      <c r="D84" s="465">
        <v>0</v>
      </c>
      <c r="E84" s="227">
        <f t="shared" si="3"/>
        <v>0</v>
      </c>
      <c r="F84" s="465">
        <v>6</v>
      </c>
      <c r="G84" s="227">
        <f t="shared" si="4"/>
        <v>0</v>
      </c>
      <c r="H84" s="465">
        <v>2</v>
      </c>
      <c r="I84" s="225">
        <f t="shared" si="5"/>
        <v>0</v>
      </c>
    </row>
    <row r="85" spans="1:9" x14ac:dyDescent="0.2">
      <c r="A85" s="206" t="s">
        <v>359</v>
      </c>
      <c r="B85" s="207">
        <v>36</v>
      </c>
      <c r="C85" s="215">
        <v>0</v>
      </c>
      <c r="D85" s="465">
        <v>0</v>
      </c>
      <c r="E85" s="227">
        <f t="shared" si="3"/>
        <v>0</v>
      </c>
      <c r="F85" s="465">
        <v>0</v>
      </c>
      <c r="G85" s="227">
        <f t="shared" si="4"/>
        <v>0</v>
      </c>
      <c r="H85" s="465">
        <v>0</v>
      </c>
      <c r="I85" s="225">
        <f t="shared" si="5"/>
        <v>0</v>
      </c>
    </row>
    <row r="86" spans="1:9" x14ac:dyDescent="0.2">
      <c r="A86" s="206" t="s">
        <v>280</v>
      </c>
      <c r="B86" s="207">
        <v>36</v>
      </c>
      <c r="C86" s="215">
        <v>0</v>
      </c>
      <c r="D86" s="465">
        <v>1</v>
      </c>
      <c r="E86" s="227">
        <f t="shared" si="3"/>
        <v>0</v>
      </c>
      <c r="F86" s="465">
        <v>0</v>
      </c>
      <c r="G86" s="227">
        <f t="shared" si="4"/>
        <v>0</v>
      </c>
      <c r="H86" s="465">
        <v>1</v>
      </c>
      <c r="I86" s="225">
        <f t="shared" si="5"/>
        <v>0</v>
      </c>
    </row>
    <row r="87" spans="1:9" x14ac:dyDescent="0.2">
      <c r="A87" s="206" t="s">
        <v>281</v>
      </c>
      <c r="B87" s="207">
        <v>12</v>
      </c>
      <c r="C87" s="215">
        <v>0</v>
      </c>
      <c r="D87" s="465">
        <v>1</v>
      </c>
      <c r="E87" s="227">
        <f t="shared" si="3"/>
        <v>0</v>
      </c>
      <c r="F87" s="465">
        <v>1</v>
      </c>
      <c r="G87" s="227">
        <f t="shared" si="4"/>
        <v>0</v>
      </c>
      <c r="H87" s="465">
        <v>1</v>
      </c>
      <c r="I87" s="225">
        <f t="shared" si="5"/>
        <v>0</v>
      </c>
    </row>
    <row r="88" spans="1:9" x14ac:dyDescent="0.2">
      <c r="A88" s="206" t="s">
        <v>360</v>
      </c>
      <c r="B88" s="207">
        <v>12</v>
      </c>
      <c r="C88" s="215">
        <v>0</v>
      </c>
      <c r="D88" s="465">
        <v>0</v>
      </c>
      <c r="E88" s="227">
        <f t="shared" si="3"/>
        <v>0</v>
      </c>
      <c r="F88" s="465">
        <v>1</v>
      </c>
      <c r="G88" s="227">
        <f t="shared" si="4"/>
        <v>0</v>
      </c>
      <c r="H88" s="465">
        <v>4</v>
      </c>
      <c r="I88" s="225">
        <f t="shared" si="5"/>
        <v>0</v>
      </c>
    </row>
    <row r="89" spans="1:9" x14ac:dyDescent="0.2">
      <c r="A89" s="206" t="s">
        <v>314</v>
      </c>
      <c r="B89" s="207">
        <v>24</v>
      </c>
      <c r="C89" s="215">
        <v>0</v>
      </c>
      <c r="D89" s="465">
        <v>1</v>
      </c>
      <c r="E89" s="227">
        <f t="shared" si="3"/>
        <v>0</v>
      </c>
      <c r="F89" s="465">
        <v>4</v>
      </c>
      <c r="G89" s="227">
        <f t="shared" si="4"/>
        <v>0</v>
      </c>
      <c r="H89" s="465">
        <v>1</v>
      </c>
      <c r="I89" s="225">
        <f t="shared" si="5"/>
        <v>0</v>
      </c>
    </row>
    <row r="90" spans="1:9" x14ac:dyDescent="0.2">
      <c r="A90" s="206" t="s">
        <v>282</v>
      </c>
      <c r="B90" s="207">
        <v>24</v>
      </c>
      <c r="C90" s="215">
        <v>0</v>
      </c>
      <c r="D90" s="465">
        <v>1</v>
      </c>
      <c r="E90" s="227">
        <f t="shared" si="3"/>
        <v>0</v>
      </c>
      <c r="F90" s="465">
        <v>1</v>
      </c>
      <c r="G90" s="227">
        <f t="shared" si="4"/>
        <v>0</v>
      </c>
      <c r="H90" s="465">
        <v>1</v>
      </c>
      <c r="I90" s="225">
        <f t="shared" si="5"/>
        <v>0</v>
      </c>
    </row>
    <row r="91" spans="1:9" x14ac:dyDescent="0.2">
      <c r="A91" s="206" t="s">
        <v>361</v>
      </c>
      <c r="B91" s="207">
        <v>24</v>
      </c>
      <c r="C91" s="215">
        <v>0</v>
      </c>
      <c r="D91" s="465">
        <v>1</v>
      </c>
      <c r="E91" s="227">
        <f t="shared" si="3"/>
        <v>0</v>
      </c>
      <c r="F91" s="465">
        <v>3</v>
      </c>
      <c r="G91" s="227">
        <f t="shared" si="4"/>
        <v>0</v>
      </c>
      <c r="H91" s="465">
        <v>1</v>
      </c>
      <c r="I91" s="225">
        <f t="shared" si="5"/>
        <v>0</v>
      </c>
    </row>
    <row r="92" spans="1:9" x14ac:dyDescent="0.2">
      <c r="A92" s="206" t="s">
        <v>283</v>
      </c>
      <c r="B92" s="207">
        <v>12</v>
      </c>
      <c r="C92" s="215">
        <v>0</v>
      </c>
      <c r="D92" s="465">
        <v>0</v>
      </c>
      <c r="E92" s="227">
        <f t="shared" si="3"/>
        <v>0</v>
      </c>
      <c r="F92" s="465">
        <v>1</v>
      </c>
      <c r="G92" s="227">
        <f t="shared" si="4"/>
        <v>0</v>
      </c>
      <c r="H92" s="465">
        <v>0</v>
      </c>
      <c r="I92" s="225">
        <f t="shared" si="5"/>
        <v>0</v>
      </c>
    </row>
    <row r="93" spans="1:9" ht="13.5" thickBot="1" x14ac:dyDescent="0.25">
      <c r="A93" s="228" t="s">
        <v>362</v>
      </c>
      <c r="B93" s="229">
        <v>12</v>
      </c>
      <c r="C93" s="215">
        <v>0</v>
      </c>
      <c r="D93" s="465">
        <v>0</v>
      </c>
      <c r="E93" s="227">
        <f t="shared" si="3"/>
        <v>0</v>
      </c>
      <c r="F93" s="465">
        <v>6</v>
      </c>
      <c r="G93" s="227">
        <f t="shared" si="4"/>
        <v>0</v>
      </c>
      <c r="H93" s="465">
        <v>5</v>
      </c>
      <c r="I93" s="225">
        <f t="shared" si="5"/>
        <v>0</v>
      </c>
    </row>
    <row r="94" spans="1:9" ht="13.5" thickBot="1" x14ac:dyDescent="0.25">
      <c r="A94" s="678" t="s">
        <v>225</v>
      </c>
      <c r="B94" s="694"/>
      <c r="C94" s="695"/>
      <c r="D94" s="230"/>
      <c r="E94" s="239">
        <f>SUM(E73:E93)</f>
        <v>0</v>
      </c>
      <c r="F94" s="230"/>
      <c r="G94" s="239">
        <f>SUM(G73:G93)</f>
        <v>0</v>
      </c>
      <c r="H94" s="231"/>
      <c r="I94" s="240">
        <f>SUM(I73:I93)</f>
        <v>0</v>
      </c>
    </row>
    <row r="95" spans="1:9" ht="13.5" thickBot="1" x14ac:dyDescent="0.25">
      <c r="A95" s="658"/>
      <c r="B95" s="680"/>
      <c r="C95" s="680"/>
      <c r="D95" s="680"/>
      <c r="E95" s="680"/>
      <c r="F95" s="680"/>
      <c r="G95" s="680"/>
      <c r="H95" s="680"/>
      <c r="I95" s="681"/>
    </row>
    <row r="96" spans="1:9" x14ac:dyDescent="0.2">
      <c r="A96" s="673" t="s">
        <v>226</v>
      </c>
      <c r="B96" s="690" t="str">
        <f>B71</f>
        <v>Periodicidade / Meses</v>
      </c>
      <c r="C96" s="676" t="str">
        <f>C71</f>
        <v xml:space="preserve">Valor Unitário </v>
      </c>
      <c r="D96" s="669" t="str">
        <f>D71</f>
        <v>CEARA</v>
      </c>
      <c r="E96" s="670"/>
      <c r="F96" s="669" t="str">
        <f>F71</f>
        <v>CEBAU</v>
      </c>
      <c r="G96" s="670"/>
      <c r="H96" s="671" t="str">
        <f>H71</f>
        <v>CERIB</v>
      </c>
      <c r="I96" s="670"/>
    </row>
    <row r="97" spans="1:9" ht="13.5" thickBot="1" x14ac:dyDescent="0.25">
      <c r="A97" s="696"/>
      <c r="B97" s="691"/>
      <c r="C97" s="703"/>
      <c r="D97" s="204" t="str">
        <f>D72</f>
        <v>Quantidade</v>
      </c>
      <c r="E97" s="396" t="str">
        <f>E72</f>
        <v>Valor</v>
      </c>
      <c r="F97" s="204" t="str">
        <f>F72</f>
        <v>Quantidade</v>
      </c>
      <c r="G97" s="396" t="str">
        <f>G72</f>
        <v>Valor</v>
      </c>
      <c r="H97" s="208" t="str">
        <f>H72</f>
        <v>Quantidade</v>
      </c>
      <c r="I97" s="203" t="str">
        <f>I72</f>
        <v>Valor</v>
      </c>
    </row>
    <row r="98" spans="1:9" ht="25.5" x14ac:dyDescent="0.2">
      <c r="A98" s="466" t="s">
        <v>363</v>
      </c>
      <c r="B98" s="246">
        <v>6</v>
      </c>
      <c r="C98" s="249">
        <v>0</v>
      </c>
      <c r="D98" s="264">
        <v>2</v>
      </c>
      <c r="E98" s="251">
        <f>ROUND((C98*D98)/B98,2)</f>
        <v>0</v>
      </c>
      <c r="F98" s="254">
        <v>50</v>
      </c>
      <c r="G98" s="251">
        <f>ROUND((C98*F98)/B98,2)</f>
        <v>0</v>
      </c>
      <c r="H98" s="243">
        <v>6</v>
      </c>
      <c r="I98" s="251">
        <f>ROUND((H98*C98)/B98,2)</f>
        <v>0</v>
      </c>
    </row>
    <row r="99" spans="1:9" x14ac:dyDescent="0.2">
      <c r="A99" s="153" t="s">
        <v>364</v>
      </c>
      <c r="B99" s="247">
        <v>36</v>
      </c>
      <c r="C99" s="250">
        <v>0</v>
      </c>
      <c r="D99" s="264">
        <v>1</v>
      </c>
      <c r="E99" s="251">
        <f t="shared" ref="E99:E102" si="6">ROUND((C99*D99)/B99,2)</f>
        <v>0</v>
      </c>
      <c r="F99" s="255">
        <v>1</v>
      </c>
      <c r="G99" s="251">
        <f t="shared" ref="G99:G102" si="7">ROUND((C99*F99)/B99,2)</f>
        <v>0</v>
      </c>
      <c r="H99" s="244">
        <v>1</v>
      </c>
      <c r="I99" s="251">
        <f t="shared" ref="I99:I102" si="8">ROUND((H99*C99)/B99,2)</f>
        <v>0</v>
      </c>
    </row>
    <row r="100" spans="1:9" x14ac:dyDescent="0.2">
      <c r="A100" s="153" t="s">
        <v>365</v>
      </c>
      <c r="B100" s="247">
        <v>36</v>
      </c>
      <c r="C100" s="250">
        <v>0</v>
      </c>
      <c r="D100" s="264">
        <v>1</v>
      </c>
      <c r="E100" s="251">
        <f t="shared" si="6"/>
        <v>0</v>
      </c>
      <c r="F100" s="255">
        <v>1</v>
      </c>
      <c r="G100" s="251">
        <f t="shared" si="7"/>
        <v>0</v>
      </c>
      <c r="H100" s="244">
        <v>1</v>
      </c>
      <c r="I100" s="251">
        <f t="shared" si="8"/>
        <v>0</v>
      </c>
    </row>
    <row r="101" spans="1:9" x14ac:dyDescent="0.2">
      <c r="A101" s="153" t="s">
        <v>284</v>
      </c>
      <c r="B101" s="248">
        <v>12</v>
      </c>
      <c r="C101" s="250">
        <v>0</v>
      </c>
      <c r="D101" s="264">
        <v>2</v>
      </c>
      <c r="E101" s="251">
        <f t="shared" si="6"/>
        <v>0</v>
      </c>
      <c r="F101" s="255">
        <v>2</v>
      </c>
      <c r="G101" s="251">
        <f t="shared" si="7"/>
        <v>0</v>
      </c>
      <c r="H101" s="244">
        <v>1</v>
      </c>
      <c r="I101" s="251">
        <f t="shared" si="8"/>
        <v>0</v>
      </c>
    </row>
    <row r="102" spans="1:9" x14ac:dyDescent="0.2">
      <c r="A102" s="153" t="s">
        <v>285</v>
      </c>
      <c r="B102" s="248">
        <v>12</v>
      </c>
      <c r="C102" s="250">
        <v>0</v>
      </c>
      <c r="D102" s="264">
        <v>1</v>
      </c>
      <c r="E102" s="251">
        <f t="shared" si="6"/>
        <v>0</v>
      </c>
      <c r="F102" s="255">
        <v>2</v>
      </c>
      <c r="G102" s="251">
        <f t="shared" si="7"/>
        <v>0</v>
      </c>
      <c r="H102" s="244">
        <v>2</v>
      </c>
      <c r="I102" s="251">
        <f t="shared" si="8"/>
        <v>0</v>
      </c>
    </row>
    <row r="103" spans="1:9" ht="13.5" thickBot="1" x14ac:dyDescent="0.25">
      <c r="A103" s="697" t="s">
        <v>228</v>
      </c>
      <c r="B103" s="698"/>
      <c r="C103" s="699"/>
      <c r="D103" s="242"/>
      <c r="E103" s="253">
        <f>SUM(E98:E102)</f>
        <v>0</v>
      </c>
      <c r="F103" s="242"/>
      <c r="G103" s="253">
        <f>SUM(G98:G102)</f>
        <v>0</v>
      </c>
      <c r="H103" s="245"/>
      <c r="I103" s="256">
        <f>SUM(I98:I102)</f>
        <v>0</v>
      </c>
    </row>
    <row r="104" spans="1:9" ht="12.75" customHeight="1" thickBot="1" x14ac:dyDescent="0.25">
      <c r="A104" s="700"/>
      <c r="B104" s="701"/>
      <c r="C104" s="701"/>
      <c r="D104" s="701"/>
      <c r="E104" s="701"/>
      <c r="F104" s="701"/>
      <c r="G104" s="701"/>
      <c r="H104" s="701"/>
      <c r="I104" s="702"/>
    </row>
    <row r="105" spans="1:9" ht="13.5" customHeight="1" x14ac:dyDescent="0.2">
      <c r="A105" s="673" t="s">
        <v>484</v>
      </c>
      <c r="B105" s="674" t="s">
        <v>227</v>
      </c>
      <c r="C105" s="676" t="s">
        <v>445</v>
      </c>
      <c r="D105" s="667" t="str">
        <f>D96</f>
        <v>CEARA</v>
      </c>
      <c r="E105" s="668"/>
      <c r="F105" s="669" t="str">
        <f>F96</f>
        <v>CEBAU</v>
      </c>
      <c r="G105" s="670"/>
      <c r="H105" s="671" t="str">
        <f>H96</f>
        <v>CERIB</v>
      </c>
      <c r="I105" s="672"/>
    </row>
    <row r="106" spans="1:9" ht="13.5" thickBot="1" x14ac:dyDescent="0.25">
      <c r="A106" s="632"/>
      <c r="B106" s="675"/>
      <c r="C106" s="677"/>
      <c r="D106" s="260" t="str">
        <f>D97</f>
        <v>Quantidade</v>
      </c>
      <c r="E106" s="467" t="str">
        <f>E97</f>
        <v>Valor</v>
      </c>
      <c r="F106" s="257" t="str">
        <f>F97</f>
        <v>Quantidade</v>
      </c>
      <c r="G106" s="258" t="str">
        <f>G97</f>
        <v>Valor</v>
      </c>
      <c r="H106" s="259" t="str">
        <f>H97</f>
        <v>Quantidade</v>
      </c>
      <c r="I106" s="148" t="str">
        <f>I97</f>
        <v>Valor</v>
      </c>
    </row>
    <row r="107" spans="1:9" ht="76.5" x14ac:dyDescent="0.2">
      <c r="A107" s="492" t="s">
        <v>478</v>
      </c>
      <c r="B107" s="477">
        <v>0.1</v>
      </c>
      <c r="C107" s="479">
        <v>0</v>
      </c>
      <c r="D107" s="476">
        <v>0</v>
      </c>
      <c r="E107" s="481">
        <f>ROUND(((C107*B107)*D107)/12,2)</f>
        <v>0</v>
      </c>
      <c r="F107" s="474">
        <v>1</v>
      </c>
      <c r="G107" s="479">
        <f>ROUND(((B107*C107)*F107)/12,2)</f>
        <v>0</v>
      </c>
      <c r="H107" s="476">
        <v>0</v>
      </c>
      <c r="I107" s="481">
        <f>ROUND(((B107*C107)*H107)/12,2)</f>
        <v>0</v>
      </c>
    </row>
    <row r="108" spans="1:9" x14ac:dyDescent="0.2">
      <c r="A108" s="490" t="s">
        <v>366</v>
      </c>
      <c r="B108" s="478">
        <v>0.1</v>
      </c>
      <c r="C108" s="480">
        <v>0</v>
      </c>
      <c r="D108" s="473">
        <v>1</v>
      </c>
      <c r="E108" s="482">
        <f>ROUND(((C108*B108)*D108)/12,2)</f>
        <v>0</v>
      </c>
      <c r="F108" s="475">
        <v>1</v>
      </c>
      <c r="G108" s="480">
        <f>ROUND(((B108*C108)*F108)/12,2)</f>
        <v>0</v>
      </c>
      <c r="H108" s="473">
        <v>1</v>
      </c>
      <c r="I108" s="482">
        <f>ROUND(((B108*C108)*H108)/12,2)</f>
        <v>0</v>
      </c>
    </row>
    <row r="109" spans="1:9" x14ac:dyDescent="0.2">
      <c r="A109" s="490" t="s">
        <v>367</v>
      </c>
      <c r="B109" s="478">
        <v>0.1</v>
      </c>
      <c r="C109" s="480">
        <v>0</v>
      </c>
      <c r="D109" s="473">
        <v>0</v>
      </c>
      <c r="E109" s="482">
        <f t="shared" ref="E109:E111" si="9">ROUND(((C109*B109)*D109)/12,2)</f>
        <v>0</v>
      </c>
      <c r="F109" s="475">
        <v>1</v>
      </c>
      <c r="G109" s="480">
        <f t="shared" ref="G109:G111" si="10">ROUND(((B109*C109)*F109)/12,2)</f>
        <v>0</v>
      </c>
      <c r="H109" s="473">
        <v>0</v>
      </c>
      <c r="I109" s="482">
        <f t="shared" ref="I109:I111" si="11">ROUND(((B109*C109)*H109)/12,2)</f>
        <v>0</v>
      </c>
    </row>
    <row r="110" spans="1:9" x14ac:dyDescent="0.2">
      <c r="A110" s="490" t="s">
        <v>371</v>
      </c>
      <c r="B110" s="478">
        <v>0.1</v>
      </c>
      <c r="C110" s="480">
        <v>0</v>
      </c>
      <c r="D110" s="473">
        <v>2</v>
      </c>
      <c r="E110" s="482">
        <f t="shared" si="9"/>
        <v>0</v>
      </c>
      <c r="F110" s="475">
        <v>2</v>
      </c>
      <c r="G110" s="480">
        <f t="shared" si="10"/>
        <v>0</v>
      </c>
      <c r="H110" s="473">
        <v>15</v>
      </c>
      <c r="I110" s="482">
        <f t="shared" si="11"/>
        <v>0</v>
      </c>
    </row>
    <row r="111" spans="1:9" x14ac:dyDescent="0.2">
      <c r="A111" s="491" t="s">
        <v>372</v>
      </c>
      <c r="B111" s="484">
        <v>0.1</v>
      </c>
      <c r="C111" s="485">
        <v>0</v>
      </c>
      <c r="D111" s="483">
        <v>0</v>
      </c>
      <c r="E111" s="486">
        <f t="shared" si="9"/>
        <v>0</v>
      </c>
      <c r="F111" s="487">
        <v>1</v>
      </c>
      <c r="G111" s="480">
        <f t="shared" si="10"/>
        <v>0</v>
      </c>
      <c r="H111" s="483">
        <v>0</v>
      </c>
      <c r="I111" s="482">
        <f t="shared" si="11"/>
        <v>0</v>
      </c>
    </row>
    <row r="112" spans="1:9" ht="13.5" thickBot="1" x14ac:dyDescent="0.25">
      <c r="A112" s="697" t="s">
        <v>228</v>
      </c>
      <c r="B112" s="704"/>
      <c r="C112" s="704"/>
      <c r="D112" s="468"/>
      <c r="E112" s="253">
        <f>SUM(E107:E111)</f>
        <v>0</v>
      </c>
      <c r="F112" s="468"/>
      <c r="G112" s="253">
        <f>SUM(G107:G111)</f>
        <v>0</v>
      </c>
      <c r="H112" s="488"/>
      <c r="I112" s="489">
        <f>SUM(I107:I111)</f>
        <v>0</v>
      </c>
    </row>
    <row r="113" spans="1:9" ht="13.5" thickBot="1" x14ac:dyDescent="0.25">
      <c r="A113" s="471"/>
      <c r="B113" s="472"/>
      <c r="C113" s="472"/>
      <c r="D113" s="472"/>
      <c r="E113" s="472"/>
      <c r="F113" s="472"/>
      <c r="G113" s="472"/>
      <c r="H113" s="472"/>
      <c r="I113" s="431"/>
    </row>
    <row r="114" spans="1:9" x14ac:dyDescent="0.2">
      <c r="A114" s="673" t="s">
        <v>485</v>
      </c>
      <c r="B114" s="674" t="s">
        <v>227</v>
      </c>
      <c r="C114" s="676" t="s">
        <v>445</v>
      </c>
      <c r="D114" s="667" t="str">
        <f>D105</f>
        <v>CEARA</v>
      </c>
      <c r="E114" s="668"/>
      <c r="F114" s="669" t="str">
        <f>F105</f>
        <v>CEBAU</v>
      </c>
      <c r="G114" s="670"/>
      <c r="H114" s="671" t="str">
        <f>H105</f>
        <v>CERIB</v>
      </c>
      <c r="I114" s="672"/>
    </row>
    <row r="115" spans="1:9" ht="13.5" thickBot="1" x14ac:dyDescent="0.25">
      <c r="A115" s="632"/>
      <c r="B115" s="675"/>
      <c r="C115" s="677"/>
      <c r="D115" s="260" t="str">
        <f>D106</f>
        <v>Quantidade</v>
      </c>
      <c r="E115" s="467" t="str">
        <f>E106</f>
        <v>Valor</v>
      </c>
      <c r="F115" s="257" t="str">
        <f>F106</f>
        <v>Quantidade</v>
      </c>
      <c r="G115" s="258" t="str">
        <f>G106</f>
        <v>Valor</v>
      </c>
      <c r="H115" s="259" t="str">
        <f>H106</f>
        <v>Quantidade</v>
      </c>
      <c r="I115" s="148" t="str">
        <f>I106</f>
        <v>Valor</v>
      </c>
    </row>
    <row r="116" spans="1:9" x14ac:dyDescent="0.2">
      <c r="A116" s="494" t="s">
        <v>286</v>
      </c>
      <c r="B116" s="469">
        <v>0.1</v>
      </c>
      <c r="C116" s="479">
        <v>0</v>
      </c>
      <c r="D116" s="476">
        <v>0</v>
      </c>
      <c r="E116" s="495">
        <f>ROUND(((C116*B116)*D116)/12,2)</f>
        <v>0</v>
      </c>
      <c r="F116" s="474">
        <v>1</v>
      </c>
      <c r="G116" s="497">
        <f>ROUND(((B116*C116)*F116)/12,2)</f>
        <v>0</v>
      </c>
      <c r="H116" s="476">
        <v>0</v>
      </c>
      <c r="I116" s="495">
        <f>ROUND(((B116*C116)*H116)/12,2)</f>
        <v>0</v>
      </c>
    </row>
    <row r="117" spans="1:9" x14ac:dyDescent="0.2">
      <c r="A117" s="490" t="s">
        <v>287</v>
      </c>
      <c r="B117" s="470">
        <v>0.1</v>
      </c>
      <c r="C117" s="480">
        <v>0</v>
      </c>
      <c r="D117" s="473">
        <v>1</v>
      </c>
      <c r="E117" s="496">
        <f>ROUND(((C117*B117)*D117)/12,2)</f>
        <v>0</v>
      </c>
      <c r="F117" s="475">
        <v>1</v>
      </c>
      <c r="G117" s="498">
        <f>ROUND(((B117*C117)*F117)/12,2)</f>
        <v>0</v>
      </c>
      <c r="H117" s="473">
        <v>2</v>
      </c>
      <c r="I117" s="496">
        <f>ROUND(((B117*C117)*H117)/12,2)</f>
        <v>0</v>
      </c>
    </row>
    <row r="118" spans="1:9" x14ac:dyDescent="0.2">
      <c r="A118" s="490" t="s">
        <v>375</v>
      </c>
      <c r="B118" s="470">
        <v>0.1</v>
      </c>
      <c r="C118" s="480">
        <v>0</v>
      </c>
      <c r="D118" s="473">
        <v>1</v>
      </c>
      <c r="E118" s="496">
        <f t="shared" ref="E118:E120" si="12">ROUND(((C118*B118)*D118)/12,2)</f>
        <v>0</v>
      </c>
      <c r="F118" s="475">
        <v>0</v>
      </c>
      <c r="G118" s="498">
        <f t="shared" ref="G118:G120" si="13">ROUND(((B118*C118)*F118)/12,2)</f>
        <v>0</v>
      </c>
      <c r="H118" s="473">
        <v>2</v>
      </c>
      <c r="I118" s="496">
        <f t="shared" ref="I118:I120" si="14">ROUND(((B118*C118)*H118)/12,2)</f>
        <v>0</v>
      </c>
    </row>
    <row r="119" spans="1:9" x14ac:dyDescent="0.2">
      <c r="A119" s="490" t="s">
        <v>376</v>
      </c>
      <c r="B119" s="470">
        <v>0.1</v>
      </c>
      <c r="C119" s="480">
        <v>0</v>
      </c>
      <c r="D119" s="473">
        <v>0</v>
      </c>
      <c r="E119" s="496">
        <f t="shared" si="12"/>
        <v>0</v>
      </c>
      <c r="F119" s="475">
        <v>2</v>
      </c>
      <c r="G119" s="498">
        <f t="shared" si="13"/>
        <v>0</v>
      </c>
      <c r="H119" s="473">
        <v>0</v>
      </c>
      <c r="I119" s="496">
        <f t="shared" si="14"/>
        <v>0</v>
      </c>
    </row>
    <row r="120" spans="1:9" x14ac:dyDescent="0.2">
      <c r="A120" s="490" t="s">
        <v>288</v>
      </c>
      <c r="B120" s="493">
        <v>0.1</v>
      </c>
      <c r="C120" s="480">
        <v>0</v>
      </c>
      <c r="D120" s="473">
        <v>1</v>
      </c>
      <c r="E120" s="496">
        <f t="shared" si="12"/>
        <v>0</v>
      </c>
      <c r="F120" s="475">
        <v>1</v>
      </c>
      <c r="G120" s="498">
        <f t="shared" si="13"/>
        <v>0</v>
      </c>
      <c r="H120" s="473">
        <v>1</v>
      </c>
      <c r="I120" s="496">
        <f t="shared" si="14"/>
        <v>0</v>
      </c>
    </row>
    <row r="121" spans="1:9" ht="13.5" thickBot="1" x14ac:dyDescent="0.25">
      <c r="A121" s="697" t="s">
        <v>228</v>
      </c>
      <c r="B121" s="704"/>
      <c r="C121" s="704"/>
      <c r="D121" s="468"/>
      <c r="E121" s="253">
        <f>SUM(E116:E120)</f>
        <v>0</v>
      </c>
      <c r="F121" s="468"/>
      <c r="G121" s="253">
        <f>SUM(G116:G120)</f>
        <v>0</v>
      </c>
      <c r="H121" s="488"/>
      <c r="I121" s="489">
        <f>SUM(I116:I120)</f>
        <v>0</v>
      </c>
    </row>
    <row r="122" spans="1:9" ht="13.5" thickBot="1" x14ac:dyDescent="0.25">
      <c r="A122" s="471"/>
      <c r="B122" s="472"/>
      <c r="C122" s="472"/>
      <c r="D122" s="472"/>
      <c r="E122" s="472"/>
      <c r="F122" s="472"/>
      <c r="G122" s="472"/>
      <c r="H122" s="472"/>
      <c r="I122" s="431"/>
    </row>
    <row r="123" spans="1:9" s="123" customFormat="1" ht="12.75" customHeight="1" x14ac:dyDescent="0.2">
      <c r="A123" s="673" t="s">
        <v>479</v>
      </c>
      <c r="B123" s="674" t="str">
        <f>C96</f>
        <v xml:space="preserve">Valor Unitário </v>
      </c>
      <c r="C123" s="676" t="s">
        <v>227</v>
      </c>
      <c r="D123" s="667" t="str">
        <f>D96</f>
        <v>CEARA</v>
      </c>
      <c r="E123" s="668"/>
      <c r="F123" s="669" t="str">
        <f>F96</f>
        <v>CEBAU</v>
      </c>
      <c r="G123" s="670"/>
      <c r="H123" s="671" t="str">
        <f>H96</f>
        <v>CERIB</v>
      </c>
      <c r="I123" s="672"/>
    </row>
    <row r="124" spans="1:9" s="123" customFormat="1" x14ac:dyDescent="0.2">
      <c r="A124" s="632"/>
      <c r="B124" s="675"/>
      <c r="C124" s="677"/>
      <c r="D124" s="260" t="str">
        <f>D97</f>
        <v>Quantidade</v>
      </c>
      <c r="E124" s="397" t="str">
        <f>E97</f>
        <v>Valor</v>
      </c>
      <c r="F124" s="257" t="str">
        <f>F97</f>
        <v>Quantidade</v>
      </c>
      <c r="G124" s="258" t="str">
        <f>G97</f>
        <v>Valor</v>
      </c>
      <c r="H124" s="259" t="str">
        <f>H97</f>
        <v>Quantidade</v>
      </c>
      <c r="I124" s="148" t="str">
        <f>I97</f>
        <v>Valor</v>
      </c>
    </row>
    <row r="125" spans="1:9" s="124" customFormat="1" ht="63.75" x14ac:dyDescent="0.2">
      <c r="A125" s="210" t="s">
        <v>480</v>
      </c>
      <c r="B125" s="261">
        <v>0</v>
      </c>
      <c r="C125" s="262">
        <v>0.1</v>
      </c>
      <c r="D125" s="255">
        <v>0</v>
      </c>
      <c r="E125" s="252">
        <f t="shared" ref="E125:E133" si="15">ROUND(((C125*B125)*D125)/12,2)</f>
        <v>0</v>
      </c>
      <c r="F125" s="255">
        <v>0</v>
      </c>
      <c r="G125" s="252">
        <f t="shared" ref="G125:G133" si="16">ROUND(((B125*C125)*F125)/12,2)</f>
        <v>0</v>
      </c>
      <c r="H125" s="244">
        <v>0</v>
      </c>
      <c r="I125" s="241">
        <f t="shared" ref="I125:I133" si="17">ROUND(((B125*C125)*H125)/12,2)</f>
        <v>0</v>
      </c>
    </row>
    <row r="126" spans="1:9" s="124" customFormat="1" ht="102" x14ac:dyDescent="0.2">
      <c r="A126" s="210" t="s">
        <v>481</v>
      </c>
      <c r="B126" s="261">
        <v>0</v>
      </c>
      <c r="C126" s="262">
        <v>0.1</v>
      </c>
      <c r="D126" s="255">
        <v>0</v>
      </c>
      <c r="E126" s="252">
        <f t="shared" si="15"/>
        <v>0</v>
      </c>
      <c r="F126" s="255">
        <v>0</v>
      </c>
      <c r="G126" s="252">
        <f t="shared" si="16"/>
        <v>0</v>
      </c>
      <c r="H126" s="244">
        <v>1</v>
      </c>
      <c r="I126" s="241">
        <f t="shared" si="17"/>
        <v>0</v>
      </c>
    </row>
    <row r="127" spans="1:9" s="124" customFormat="1" ht="63.75" x14ac:dyDescent="0.2">
      <c r="A127" s="210" t="s">
        <v>482</v>
      </c>
      <c r="B127" s="261">
        <v>0</v>
      </c>
      <c r="C127" s="262">
        <v>0.1</v>
      </c>
      <c r="D127" s="255">
        <v>0</v>
      </c>
      <c r="E127" s="252">
        <f t="shared" si="15"/>
        <v>0</v>
      </c>
      <c r="F127" s="255">
        <v>1</v>
      </c>
      <c r="G127" s="252">
        <f t="shared" si="16"/>
        <v>0</v>
      </c>
      <c r="H127" s="244">
        <v>0</v>
      </c>
      <c r="I127" s="241">
        <f t="shared" si="17"/>
        <v>0</v>
      </c>
    </row>
    <row r="128" spans="1:9" s="124" customFormat="1" ht="25.5" x14ac:dyDescent="0.2">
      <c r="A128" s="210" t="s">
        <v>368</v>
      </c>
      <c r="B128" s="261">
        <v>0</v>
      </c>
      <c r="C128" s="262">
        <v>0.1</v>
      </c>
      <c r="D128" s="255">
        <v>1</v>
      </c>
      <c r="E128" s="252">
        <f t="shared" si="15"/>
        <v>0</v>
      </c>
      <c r="F128" s="255">
        <v>1</v>
      </c>
      <c r="G128" s="252">
        <f t="shared" si="16"/>
        <v>0</v>
      </c>
      <c r="H128" s="244">
        <v>0</v>
      </c>
      <c r="I128" s="241">
        <f t="shared" si="17"/>
        <v>0</v>
      </c>
    </row>
    <row r="129" spans="1:9" s="124" customFormat="1" x14ac:dyDescent="0.2">
      <c r="A129" s="210" t="s">
        <v>369</v>
      </c>
      <c r="B129" s="261">
        <v>0</v>
      </c>
      <c r="C129" s="262">
        <v>0.1</v>
      </c>
      <c r="D129" s="255">
        <v>1</v>
      </c>
      <c r="E129" s="252">
        <f t="shared" si="15"/>
        <v>0</v>
      </c>
      <c r="F129" s="255">
        <v>1</v>
      </c>
      <c r="G129" s="252">
        <f t="shared" si="16"/>
        <v>0</v>
      </c>
      <c r="H129" s="244">
        <v>0</v>
      </c>
      <c r="I129" s="241">
        <f t="shared" si="17"/>
        <v>0</v>
      </c>
    </row>
    <row r="130" spans="1:9" s="124" customFormat="1" ht="25.5" x14ac:dyDescent="0.2">
      <c r="A130" s="210" t="s">
        <v>370</v>
      </c>
      <c r="B130" s="261">
        <v>0</v>
      </c>
      <c r="C130" s="262">
        <v>0.1</v>
      </c>
      <c r="D130" s="255">
        <v>3</v>
      </c>
      <c r="E130" s="252">
        <f t="shared" si="15"/>
        <v>0</v>
      </c>
      <c r="F130" s="255">
        <v>3</v>
      </c>
      <c r="G130" s="252">
        <f t="shared" si="16"/>
        <v>0</v>
      </c>
      <c r="H130" s="244">
        <v>2</v>
      </c>
      <c r="I130" s="241">
        <f t="shared" si="17"/>
        <v>0</v>
      </c>
    </row>
    <row r="131" spans="1:9" s="124" customFormat="1" x14ac:dyDescent="0.2">
      <c r="A131" s="210" t="s">
        <v>373</v>
      </c>
      <c r="B131" s="261">
        <v>0</v>
      </c>
      <c r="C131" s="262">
        <v>0.1</v>
      </c>
      <c r="D131" s="255">
        <v>1</v>
      </c>
      <c r="E131" s="252">
        <f t="shared" si="15"/>
        <v>0</v>
      </c>
      <c r="F131" s="255">
        <v>1</v>
      </c>
      <c r="G131" s="252">
        <f t="shared" si="16"/>
        <v>0</v>
      </c>
      <c r="H131" s="244">
        <v>0</v>
      </c>
      <c r="I131" s="241">
        <f t="shared" si="17"/>
        <v>0</v>
      </c>
    </row>
    <row r="132" spans="1:9" s="124" customFormat="1" x14ac:dyDescent="0.2">
      <c r="A132" s="210" t="s">
        <v>374</v>
      </c>
      <c r="B132" s="261">
        <v>0</v>
      </c>
      <c r="C132" s="262">
        <v>0.1</v>
      </c>
      <c r="D132" s="255">
        <v>0</v>
      </c>
      <c r="E132" s="252">
        <f t="shared" si="15"/>
        <v>0</v>
      </c>
      <c r="F132" s="255">
        <v>0</v>
      </c>
      <c r="G132" s="252">
        <f t="shared" si="16"/>
        <v>0</v>
      </c>
      <c r="H132" s="244">
        <v>0</v>
      </c>
      <c r="I132" s="241">
        <f t="shared" si="17"/>
        <v>0</v>
      </c>
    </row>
    <row r="133" spans="1:9" s="124" customFormat="1" x14ac:dyDescent="0.2">
      <c r="A133" s="210" t="s">
        <v>377</v>
      </c>
      <c r="B133" s="261">
        <v>0</v>
      </c>
      <c r="C133" s="262">
        <v>0.1</v>
      </c>
      <c r="D133" s="255">
        <v>1</v>
      </c>
      <c r="E133" s="252">
        <f t="shared" si="15"/>
        <v>0</v>
      </c>
      <c r="F133" s="255">
        <v>7</v>
      </c>
      <c r="G133" s="252">
        <f t="shared" si="16"/>
        <v>0</v>
      </c>
      <c r="H133" s="244">
        <v>2</v>
      </c>
      <c r="I133" s="241">
        <f t="shared" si="17"/>
        <v>0</v>
      </c>
    </row>
    <row r="134" spans="1:9" s="49" customFormat="1" ht="13.5" thickBot="1" x14ac:dyDescent="0.25">
      <c r="A134" s="705" t="s">
        <v>228</v>
      </c>
      <c r="B134" s="706"/>
      <c r="C134" s="706"/>
      <c r="D134" s="432"/>
      <c r="E134" s="433">
        <f>SUM(E125:E133)</f>
        <v>0</v>
      </c>
      <c r="F134" s="432"/>
      <c r="G134" s="433">
        <f>SUM(G125:G133)</f>
        <v>0</v>
      </c>
      <c r="H134" s="434"/>
      <c r="I134" s="435">
        <f>SUM(I125:I133)</f>
        <v>0</v>
      </c>
    </row>
    <row r="135" spans="1:9" s="49" customFormat="1" ht="13.5" thickBot="1" x14ac:dyDescent="0.25">
      <c r="A135" s="707"/>
      <c r="B135" s="708"/>
      <c r="C135" s="708"/>
      <c r="D135" s="708"/>
      <c r="E135" s="708"/>
      <c r="F135" s="708"/>
      <c r="G135" s="708"/>
      <c r="H135" s="708"/>
      <c r="I135" s="709"/>
    </row>
    <row r="136" spans="1:9" ht="27" customHeight="1" thickBot="1" x14ac:dyDescent="0.25">
      <c r="A136" s="727" t="s">
        <v>458</v>
      </c>
      <c r="B136" s="728"/>
      <c r="C136" s="728"/>
      <c r="D136" s="729">
        <f>SUM(E69,E94,E103,E112,E121,E134)</f>
        <v>0</v>
      </c>
      <c r="E136" s="730"/>
      <c r="F136" s="729">
        <f>SUM(G69,G94,G103,G112,G121,G134)</f>
        <v>0</v>
      </c>
      <c r="G136" s="730"/>
      <c r="H136" s="731">
        <f>SUM(I69,I94,I103,I112,I121,I134)</f>
        <v>0</v>
      </c>
      <c r="I136" s="730"/>
    </row>
    <row r="137" spans="1:9" ht="13.5" thickBot="1" x14ac:dyDescent="0.25">
      <c r="A137" s="429"/>
      <c r="B137" s="430"/>
      <c r="C137" s="430"/>
      <c r="D137" s="430"/>
      <c r="E137" s="430"/>
      <c r="F137" s="430"/>
      <c r="G137" s="430"/>
      <c r="H137" s="430"/>
      <c r="I137" s="431"/>
    </row>
    <row r="138" spans="1:9" s="123" customFormat="1" ht="12.75" customHeight="1" x14ac:dyDescent="0.2">
      <c r="A138" s="673" t="s">
        <v>230</v>
      </c>
      <c r="B138" s="732" t="s">
        <v>231</v>
      </c>
      <c r="C138" s="733"/>
      <c r="D138" s="736" t="str">
        <f>D123</f>
        <v>CEARA</v>
      </c>
      <c r="E138" s="737"/>
      <c r="F138" s="736" t="str">
        <f>F123</f>
        <v>CEBAU</v>
      </c>
      <c r="G138" s="737"/>
      <c r="H138" s="671" t="str">
        <f>H123</f>
        <v>CERIB</v>
      </c>
      <c r="I138" s="670"/>
    </row>
    <row r="139" spans="1:9" s="123" customFormat="1" ht="13.5" thickBot="1" x14ac:dyDescent="0.25">
      <c r="A139" s="696"/>
      <c r="B139" s="734"/>
      <c r="C139" s="735"/>
      <c r="D139" s="738" t="s">
        <v>133</v>
      </c>
      <c r="E139" s="739"/>
      <c r="F139" s="740" t="s">
        <v>133</v>
      </c>
      <c r="G139" s="739"/>
      <c r="H139" s="740" t="s">
        <v>133</v>
      </c>
      <c r="I139" s="739"/>
    </row>
    <row r="140" spans="1:9" s="49" customFormat="1" x14ac:dyDescent="0.2">
      <c r="A140" s="211" t="s">
        <v>232</v>
      </c>
      <c r="B140" s="718">
        <v>60</v>
      </c>
      <c r="C140" s="719"/>
      <c r="D140" s="720">
        <v>1</v>
      </c>
      <c r="E140" s="721"/>
      <c r="F140" s="720">
        <v>1</v>
      </c>
      <c r="G140" s="721"/>
      <c r="H140" s="722">
        <v>1</v>
      </c>
      <c r="I140" s="723"/>
    </row>
    <row r="141" spans="1:9" s="49" customFormat="1" x14ac:dyDescent="0.2">
      <c r="A141" s="212" t="s">
        <v>306</v>
      </c>
      <c r="B141" s="718"/>
      <c r="C141" s="719"/>
      <c r="D141" s="710">
        <v>1</v>
      </c>
      <c r="E141" s="711"/>
      <c r="F141" s="710">
        <v>1</v>
      </c>
      <c r="G141" s="711"/>
      <c r="H141" s="712">
        <v>1</v>
      </c>
      <c r="I141" s="713"/>
    </row>
    <row r="142" spans="1:9" s="49" customFormat="1" x14ac:dyDescent="0.2">
      <c r="A142" s="212" t="s">
        <v>307</v>
      </c>
      <c r="B142" s="718"/>
      <c r="C142" s="719"/>
      <c r="D142" s="710">
        <v>1</v>
      </c>
      <c r="E142" s="711"/>
      <c r="F142" s="710">
        <v>1</v>
      </c>
      <c r="G142" s="711"/>
      <c r="H142" s="712">
        <v>1</v>
      </c>
      <c r="I142" s="713"/>
    </row>
    <row r="143" spans="1:9" s="49" customFormat="1" x14ac:dyDescent="0.2">
      <c r="A143" s="212" t="s">
        <v>308</v>
      </c>
      <c r="B143" s="718"/>
      <c r="C143" s="719"/>
      <c r="D143" s="710">
        <v>1</v>
      </c>
      <c r="E143" s="711"/>
      <c r="F143" s="710">
        <v>1</v>
      </c>
      <c r="G143" s="711"/>
      <c r="H143" s="712">
        <v>1</v>
      </c>
      <c r="I143" s="713"/>
    </row>
    <row r="144" spans="1:9" s="49" customFormat="1" ht="13.5" thickBot="1" x14ac:dyDescent="0.25">
      <c r="A144" s="268" t="s">
        <v>309</v>
      </c>
      <c r="B144" s="718"/>
      <c r="C144" s="719"/>
      <c r="D144" s="714">
        <v>1</v>
      </c>
      <c r="E144" s="715"/>
      <c r="F144" s="714">
        <v>1</v>
      </c>
      <c r="G144" s="715"/>
      <c r="H144" s="716">
        <v>1</v>
      </c>
      <c r="I144" s="717"/>
    </row>
    <row r="145" spans="1:9" ht="13.5" thickBot="1" x14ac:dyDescent="0.25">
      <c r="A145" s="724" t="s">
        <v>233</v>
      </c>
      <c r="B145" s="725"/>
      <c r="C145" s="725"/>
      <c r="D145" s="725"/>
      <c r="E145" s="725"/>
      <c r="F145" s="725"/>
      <c r="G145" s="725"/>
      <c r="H145" s="725"/>
      <c r="I145" s="726"/>
    </row>
  </sheetData>
  <mergeCells count="78">
    <mergeCell ref="A145:I145"/>
    <mergeCell ref="A136:C136"/>
    <mergeCell ref="D136:E136"/>
    <mergeCell ref="F136:G136"/>
    <mergeCell ref="H136:I136"/>
    <mergeCell ref="H142:I142"/>
    <mergeCell ref="A138:A139"/>
    <mergeCell ref="B138:C139"/>
    <mergeCell ref="D138:E138"/>
    <mergeCell ref="F138:G138"/>
    <mergeCell ref="H138:I138"/>
    <mergeCell ref="D139:E139"/>
    <mergeCell ref="F139:G139"/>
    <mergeCell ref="H139:I139"/>
    <mergeCell ref="A135:I135"/>
    <mergeCell ref="D143:E143"/>
    <mergeCell ref="F143:G143"/>
    <mergeCell ref="H143:I143"/>
    <mergeCell ref="D144:E144"/>
    <mergeCell ref="F144:G144"/>
    <mergeCell ref="H144:I144"/>
    <mergeCell ref="B140:C144"/>
    <mergeCell ref="D140:E140"/>
    <mergeCell ref="F140:G140"/>
    <mergeCell ref="H140:I140"/>
    <mergeCell ref="D141:E141"/>
    <mergeCell ref="F141:G141"/>
    <mergeCell ref="H141:I141"/>
    <mergeCell ref="D142:E142"/>
    <mergeCell ref="F142:G142"/>
    <mergeCell ref="A134:C134"/>
    <mergeCell ref="A123:A124"/>
    <mergeCell ref="B123:B124"/>
    <mergeCell ref="C123:C124"/>
    <mergeCell ref="D123:E123"/>
    <mergeCell ref="F123:G123"/>
    <mergeCell ref="H123:I123"/>
    <mergeCell ref="A103:C103"/>
    <mergeCell ref="A104:I104"/>
    <mergeCell ref="A96:A97"/>
    <mergeCell ref="B96:B97"/>
    <mergeCell ref="C96:C97"/>
    <mergeCell ref="D96:E96"/>
    <mergeCell ref="F96:G96"/>
    <mergeCell ref="H96:I96"/>
    <mergeCell ref="A121:C121"/>
    <mergeCell ref="H105:I105"/>
    <mergeCell ref="A112:C112"/>
    <mergeCell ref="A114:A115"/>
    <mergeCell ref="B114:B115"/>
    <mergeCell ref="C114:C115"/>
    <mergeCell ref="A94:C94"/>
    <mergeCell ref="A95:I95"/>
    <mergeCell ref="A71:A72"/>
    <mergeCell ref="B71:B72"/>
    <mergeCell ref="C71:C72"/>
    <mergeCell ref="D71:E71"/>
    <mergeCell ref="F71:G71"/>
    <mergeCell ref="H71:I71"/>
    <mergeCell ref="A69:C69"/>
    <mergeCell ref="A70:I70"/>
    <mergeCell ref="A1:I1"/>
    <mergeCell ref="A2:I2"/>
    <mergeCell ref="A3:I3"/>
    <mergeCell ref="A4:A5"/>
    <mergeCell ref="B4:B5"/>
    <mergeCell ref="C4:C5"/>
    <mergeCell ref="D4:E4"/>
    <mergeCell ref="F4:G4"/>
    <mergeCell ref="H4:I4"/>
    <mergeCell ref="D114:E114"/>
    <mergeCell ref="F114:G114"/>
    <mergeCell ref="H114:I114"/>
    <mergeCell ref="A105:A106"/>
    <mergeCell ref="B105:B106"/>
    <mergeCell ref="C105:C106"/>
    <mergeCell ref="D105:E105"/>
    <mergeCell ref="F105:G105"/>
  </mergeCells>
  <printOptions horizontalCentered="1"/>
  <pageMargins left="0.78740157480314965" right="0.78740157480314965" top="0.78740157480314965" bottom="0.78740157480314965" header="0.31496062992125984" footer="0.31496062992125984"/>
  <pageSetup paperSize="9" scale="56" orientation="portrait" r:id="rId1"/>
  <headerFooter>
    <oddHeader>&amp;RPlanilha MODELO LICITANTE</oddHeader>
  </headerFooter>
  <rowBreaks count="1" manualBreakCount="1">
    <brk id="94" max="8"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28" zoomScaleNormal="100" zoomScaleSheetLayoutView="100" workbookViewId="0">
      <selection activeCell="A134" sqref="A134:F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395</v>
      </c>
      <c r="G7" s="863"/>
    </row>
    <row r="8" spans="1:8" ht="19.5" customHeight="1" x14ac:dyDescent="0.2">
      <c r="A8" s="867" t="s">
        <v>146</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v>2025</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175</v>
      </c>
      <c r="G16" s="844"/>
      <c r="H16" s="3"/>
    </row>
    <row r="17" spans="1:8" ht="14.1" customHeight="1" x14ac:dyDescent="0.2">
      <c r="A17" s="827" t="s">
        <v>21</v>
      </c>
      <c r="B17" s="828"/>
      <c r="C17" s="828"/>
      <c r="D17" s="828"/>
      <c r="E17" s="829"/>
      <c r="F17" s="843" t="s">
        <v>148</v>
      </c>
      <c r="G17" s="844"/>
      <c r="H17" s="3"/>
    </row>
    <row r="18" spans="1:8" ht="14.1" customHeight="1" x14ac:dyDescent="0.2">
      <c r="A18" s="827" t="s">
        <v>1</v>
      </c>
      <c r="B18" s="828"/>
      <c r="C18" s="828"/>
      <c r="D18" s="828"/>
      <c r="E18" s="829"/>
      <c r="F18" s="837">
        <v>1717.2</v>
      </c>
      <c r="G18" s="838"/>
    </row>
    <row r="19" spans="1:8" ht="14.1" customHeight="1" x14ac:dyDescent="0.2">
      <c r="A19" s="832" t="s">
        <v>8</v>
      </c>
      <c r="B19" s="833"/>
      <c r="C19" s="833"/>
      <c r="D19" s="833"/>
      <c r="E19" s="834"/>
      <c r="F19" s="839">
        <v>45658</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f>'Quadro Resumo M² - CEARA'!F8</f>
        <v>2</v>
      </c>
      <c r="G22" s="836"/>
    </row>
    <row r="23" spans="1:8" ht="12.75" customHeight="1" x14ac:dyDescent="0.2">
      <c r="A23" s="832" t="s">
        <v>25</v>
      </c>
      <c r="B23" s="833"/>
      <c r="C23" s="833"/>
      <c r="D23" s="833"/>
      <c r="E23" s="834"/>
      <c r="F23" s="845" t="s">
        <v>214</v>
      </c>
      <c r="G23" s="846"/>
    </row>
    <row r="24" spans="1:8" ht="25.5" customHeight="1" x14ac:dyDescent="0.2">
      <c r="A24" s="823" t="s">
        <v>450</v>
      </c>
      <c r="B24" s="824"/>
      <c r="C24" s="824"/>
      <c r="D24" s="824"/>
      <c r="E24" s="824"/>
      <c r="F24" s="824"/>
      <c r="G24" s="825"/>
    </row>
    <row r="25" spans="1:8" x14ac:dyDescent="0.2">
      <c r="A25" s="770" t="s">
        <v>2</v>
      </c>
      <c r="B25" s="771"/>
      <c r="C25" s="771"/>
      <c r="D25" s="771"/>
      <c r="E25" s="771"/>
      <c r="F25" s="772"/>
      <c r="G25" s="773"/>
    </row>
    <row r="26" spans="1:8" x14ac:dyDescent="0.2">
      <c r="A26" s="87">
        <v>1</v>
      </c>
      <c r="B26" s="826" t="s">
        <v>26</v>
      </c>
      <c r="C26" s="826"/>
      <c r="D26" s="826"/>
      <c r="E26" s="826"/>
      <c r="F26" s="79" t="s">
        <v>27</v>
      </c>
      <c r="G26" s="88" t="s">
        <v>3</v>
      </c>
    </row>
    <row r="27" spans="1:8" s="34" customFormat="1" x14ac:dyDescent="0.2">
      <c r="A27" s="89" t="s">
        <v>28</v>
      </c>
      <c r="B27" s="822" t="s">
        <v>153</v>
      </c>
      <c r="C27" s="822"/>
      <c r="D27" s="822"/>
      <c r="E27" s="822"/>
      <c r="F27" s="90">
        <v>1</v>
      </c>
      <c r="G27" s="91">
        <f>F18*F27</f>
        <v>1717.2</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0.4</v>
      </c>
      <c r="G29" s="91">
        <f>ROUND(F15*F29,2)</f>
        <v>607.20000000000005</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2324.4</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193.62</v>
      </c>
      <c r="H37" s="53"/>
    </row>
    <row r="38" spans="1:8" x14ac:dyDescent="0.2">
      <c r="A38" s="96" t="s">
        <v>29</v>
      </c>
      <c r="B38" s="804" t="s">
        <v>157</v>
      </c>
      <c r="C38" s="805"/>
      <c r="D38" s="805"/>
      <c r="E38" s="817"/>
      <c r="F38" s="97">
        <f>ROUND((1/11)+(1/11)/3, 3)</f>
        <v>0.121</v>
      </c>
      <c r="G38" s="8">
        <f>ROUND(G$34*F38,2)</f>
        <v>281.25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86" t="s">
        <v>41</v>
      </c>
      <c r="B41" s="787"/>
      <c r="C41" s="787"/>
      <c r="D41" s="787"/>
      <c r="E41" s="785"/>
      <c r="F41" s="41">
        <f>ROUND(SUM(F39:F40),4)</f>
        <v>0.27339999999999998</v>
      </c>
      <c r="G41" s="100">
        <f>SUM(G37:G40)</f>
        <v>635.49</v>
      </c>
      <c r="H41" s="4">
        <f>ROUND(G34*F41,2)</f>
        <v>635.49</v>
      </c>
    </row>
    <row r="42" spans="1:8" x14ac:dyDescent="0.2">
      <c r="A42" s="779" t="s">
        <v>118</v>
      </c>
      <c r="B42" s="780"/>
      <c r="C42" s="780"/>
      <c r="D42" s="780"/>
      <c r="E42" s="780"/>
      <c r="F42" s="780"/>
      <c r="G42" s="781"/>
      <c r="H42" s="4">
        <f>SUM(G41,G34)</f>
        <v>2959.89</v>
      </c>
    </row>
    <row r="43" spans="1:8" x14ac:dyDescent="0.2">
      <c r="A43" s="42" t="s">
        <v>28</v>
      </c>
      <c r="B43" s="782" t="s">
        <v>42</v>
      </c>
      <c r="C43" s="783"/>
      <c r="D43" s="783"/>
      <c r="E43" s="819"/>
      <c r="F43" s="43">
        <v>0.2</v>
      </c>
      <c r="G43" s="22">
        <f>ROUND((G$34)*F43,2)</f>
        <v>464.88</v>
      </c>
      <c r="H43" s="4"/>
    </row>
    <row r="44" spans="1:8" x14ac:dyDescent="0.2">
      <c r="A44" s="36" t="s">
        <v>29</v>
      </c>
      <c r="B44" s="802" t="s">
        <v>43</v>
      </c>
      <c r="C44" s="803"/>
      <c r="D44" s="803"/>
      <c r="E44" s="816"/>
      <c r="F44" s="94">
        <v>2.5000000000000001E-2</v>
      </c>
      <c r="G44" s="101">
        <f>ROUND((G$34)*F44,2)</f>
        <v>58.11</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34.869999999999997</v>
      </c>
      <c r="H46" s="4"/>
    </row>
    <row r="47" spans="1:8" x14ac:dyDescent="0.2">
      <c r="A47" s="36" t="s">
        <v>32</v>
      </c>
      <c r="B47" s="802" t="s">
        <v>46</v>
      </c>
      <c r="C47" s="803"/>
      <c r="D47" s="803"/>
      <c r="E47" s="816"/>
      <c r="F47" s="94">
        <v>0.01</v>
      </c>
      <c r="G47" s="101">
        <f t="shared" si="0"/>
        <v>23.24</v>
      </c>
      <c r="H47" s="4"/>
    </row>
    <row r="48" spans="1:8" x14ac:dyDescent="0.2">
      <c r="A48" s="36" t="s">
        <v>34</v>
      </c>
      <c r="B48" s="802" t="s">
        <v>47</v>
      </c>
      <c r="C48" s="803"/>
      <c r="D48" s="803"/>
      <c r="E48" s="816"/>
      <c r="F48" s="94">
        <v>6.0000000000000001E-3</v>
      </c>
      <c r="G48" s="101">
        <f t="shared" si="0"/>
        <v>13.95</v>
      </c>
      <c r="H48" s="4"/>
    </row>
    <row r="49" spans="1:8" x14ac:dyDescent="0.2">
      <c r="A49" s="36" t="s">
        <v>48</v>
      </c>
      <c r="B49" s="802" t="s">
        <v>49</v>
      </c>
      <c r="C49" s="803"/>
      <c r="D49" s="803"/>
      <c r="E49" s="816"/>
      <c r="F49" s="94">
        <v>2E-3</v>
      </c>
      <c r="G49" s="101">
        <f t="shared" si="0"/>
        <v>4.6500000000000004</v>
      </c>
      <c r="H49" s="4"/>
    </row>
    <row r="50" spans="1:8" x14ac:dyDescent="0.2">
      <c r="A50" s="96" t="s">
        <v>50</v>
      </c>
      <c r="B50" s="804" t="s">
        <v>51</v>
      </c>
      <c r="C50" s="805"/>
      <c r="D50" s="805"/>
      <c r="E50" s="817"/>
      <c r="F50" s="97">
        <v>0.08</v>
      </c>
      <c r="G50" s="101">
        <f t="shared" si="0"/>
        <v>185.95</v>
      </c>
      <c r="H50" s="4"/>
    </row>
    <row r="51" spans="1:8" x14ac:dyDescent="0.2">
      <c r="A51" s="786" t="s">
        <v>52</v>
      </c>
      <c r="B51" s="787"/>
      <c r="C51" s="787"/>
      <c r="D51" s="787"/>
      <c r="E51" s="785"/>
      <c r="F51" s="41">
        <f>SUM(F43:F50)</f>
        <v>0.33800000000000002</v>
      </c>
      <c r="G51" s="100">
        <f>SUM(G43:G50)</f>
        <v>785.65</v>
      </c>
      <c r="H51" s="4">
        <f>ROUND(G34*F51,2)</f>
        <v>785.65</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20.76-1.39</f>
        <v>19.37</v>
      </c>
      <c r="F54" s="103">
        <v>26</v>
      </c>
      <c r="G54" s="91">
        <f>ROUND((E54*F54),2)</f>
        <v>503.62</v>
      </c>
      <c r="H54" s="35"/>
    </row>
    <row r="55" spans="1:8" s="34" customFormat="1" x14ac:dyDescent="0.2">
      <c r="A55" s="36" t="s">
        <v>30</v>
      </c>
      <c r="B55" s="808" t="s">
        <v>58</v>
      </c>
      <c r="C55" s="809"/>
      <c r="D55" s="809"/>
      <c r="E55" s="102">
        <v>144.68</v>
      </c>
      <c r="F55" s="103">
        <v>1</v>
      </c>
      <c r="G55" s="91">
        <f>ROUND((E55*F55),2)</f>
        <v>144.68</v>
      </c>
      <c r="H55" s="35"/>
    </row>
    <row r="56" spans="1:8" s="34" customFormat="1" x14ac:dyDescent="0.2">
      <c r="A56" s="36" t="s">
        <v>31</v>
      </c>
      <c r="B56" s="808" t="s">
        <v>149</v>
      </c>
      <c r="C56" s="809"/>
      <c r="D56" s="809"/>
      <c r="E56" s="102">
        <v>35.33</v>
      </c>
      <c r="F56" s="103">
        <v>1</v>
      </c>
      <c r="G56" s="91">
        <f>ROUND((E56*F56),2)</f>
        <v>35.33</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150</v>
      </c>
      <c r="C58" s="809"/>
      <c r="D58" s="809"/>
      <c r="E58" s="102">
        <f>20.76</f>
        <v>20.76</v>
      </c>
      <c r="F58" s="103">
        <v>1</v>
      </c>
      <c r="G58" s="91">
        <f>ROUND((E58*F58)/12,2)</f>
        <v>1.73</v>
      </c>
      <c r="H58" s="35"/>
    </row>
    <row r="59" spans="1:8" s="34" customFormat="1" x14ac:dyDescent="0.2">
      <c r="A59" s="36" t="s">
        <v>48</v>
      </c>
      <c r="B59" s="814" t="s">
        <v>180</v>
      </c>
      <c r="C59" s="815"/>
      <c r="D59" s="815"/>
      <c r="E59" s="102">
        <f>15.96</f>
        <v>15.96</v>
      </c>
      <c r="F59" s="104">
        <v>1</v>
      </c>
      <c r="G59" s="105">
        <f>ROUND((E59*F59),2)</f>
        <v>15.96</v>
      </c>
      <c r="H59" s="35"/>
    </row>
    <row r="60" spans="1:8" s="34" customFormat="1" x14ac:dyDescent="0.2">
      <c r="A60" s="36" t="s">
        <v>50</v>
      </c>
      <c r="B60" s="808" t="s">
        <v>253</v>
      </c>
      <c r="C60" s="809"/>
      <c r="D60" s="809"/>
      <c r="E60" s="102">
        <v>300</v>
      </c>
      <c r="F60" s="103">
        <v>1</v>
      </c>
      <c r="G60" s="91">
        <f>ROUND((E60*F60),2)</f>
        <v>300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1001.32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635.49</v>
      </c>
      <c r="H65" s="4"/>
    </row>
    <row r="66" spans="1:8" x14ac:dyDescent="0.2">
      <c r="A66" s="108" t="s">
        <v>64</v>
      </c>
      <c r="B66" s="749" t="s">
        <v>128</v>
      </c>
      <c r="C66" s="750"/>
      <c r="D66" s="750"/>
      <c r="E66" s="750"/>
      <c r="F66" s="18">
        <f>F51</f>
        <v>0.33800000000000002</v>
      </c>
      <c r="G66" s="109">
        <f>G51</f>
        <v>785.65</v>
      </c>
      <c r="H66" s="4"/>
    </row>
    <row r="67" spans="1:8" x14ac:dyDescent="0.2">
      <c r="A67" s="108" t="s">
        <v>65</v>
      </c>
      <c r="B67" s="749" t="s">
        <v>66</v>
      </c>
      <c r="C67" s="750"/>
      <c r="D67" s="750"/>
      <c r="E67" s="750"/>
      <c r="F67" s="751"/>
      <c r="G67" s="109">
        <f>G63</f>
        <v>1001.32</v>
      </c>
      <c r="H67" s="4"/>
    </row>
    <row r="68" spans="1:8" x14ac:dyDescent="0.2">
      <c r="A68" s="758" t="s">
        <v>67</v>
      </c>
      <c r="B68" s="759"/>
      <c r="C68" s="759"/>
      <c r="D68" s="759"/>
      <c r="E68" s="759"/>
      <c r="F68" s="760"/>
      <c r="G68" s="93">
        <f>SUM(G65:G67)</f>
        <v>2422.46</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EPI''s'!E17</f>
        <v>0</v>
      </c>
      <c r="F108" s="24">
        <v>1</v>
      </c>
      <c r="G108" s="91">
        <f>ROUND(SUM(C108:E108),2)*F108</f>
        <v>0</v>
      </c>
      <c r="H108" s="4"/>
    </row>
    <row r="109" spans="1:8" s="34" customFormat="1" x14ac:dyDescent="0.2">
      <c r="A109" s="36" t="s">
        <v>29</v>
      </c>
      <c r="B109" s="790" t="str">
        <f>'Uniformes e EPI''s'!A19</f>
        <v>EPI's</v>
      </c>
      <c r="C109" s="742"/>
      <c r="D109" s="742"/>
      <c r="E109" s="44">
        <f>'Uniformes e EPI''s'!D39</f>
        <v>0</v>
      </c>
      <c r="F109" s="46">
        <v>1</v>
      </c>
      <c r="G109" s="91">
        <f>ROUND((E109*F109),2)</f>
        <v>0</v>
      </c>
      <c r="H109" s="35"/>
    </row>
    <row r="110" spans="1:8" s="34" customFormat="1" x14ac:dyDescent="0.2">
      <c r="A110" s="36" t="s">
        <v>30</v>
      </c>
      <c r="B110" s="741" t="s">
        <v>59</v>
      </c>
      <c r="C110" s="742"/>
      <c r="D110" s="742"/>
      <c r="E110" s="44">
        <v>0</v>
      </c>
      <c r="F110" s="47">
        <v>1</v>
      </c>
      <c r="G110" s="91">
        <f t="shared" ref="G110:G115" si="3">ROUND((E110*F110),2)</f>
        <v>0</v>
      </c>
      <c r="H110" s="35"/>
    </row>
    <row r="111" spans="1:8" s="34" customFormat="1" x14ac:dyDescent="0.2">
      <c r="A111" s="156" t="s">
        <v>31</v>
      </c>
      <c r="B111" s="741" t="s">
        <v>59</v>
      </c>
      <c r="C111" s="742"/>
      <c r="D111" s="742"/>
      <c r="E111" s="44">
        <v>0</v>
      </c>
      <c r="F111" s="47">
        <v>1</v>
      </c>
      <c r="G111" s="91">
        <f t="shared" si="3"/>
        <v>0</v>
      </c>
      <c r="H111" s="35"/>
    </row>
    <row r="112" spans="1:8" s="34" customFormat="1" x14ac:dyDescent="0.2">
      <c r="A112" s="36" t="s">
        <v>32</v>
      </c>
      <c r="B112" s="741" t="s">
        <v>59</v>
      </c>
      <c r="C112" s="742"/>
      <c r="D112" s="742"/>
      <c r="E112" s="44">
        <v>0</v>
      </c>
      <c r="F112" s="47">
        <v>1</v>
      </c>
      <c r="G112" s="91">
        <f t="shared" si="3"/>
        <v>0</v>
      </c>
      <c r="H112" s="35"/>
    </row>
    <row r="113" spans="1:8" s="34" customFormat="1" x14ac:dyDescent="0.2">
      <c r="A113" s="36" t="s">
        <v>34</v>
      </c>
      <c r="B113" s="741" t="s">
        <v>59</v>
      </c>
      <c r="C113" s="742"/>
      <c r="D113" s="742"/>
      <c r="E113" s="44">
        <v>0</v>
      </c>
      <c r="F113" s="47">
        <v>1</v>
      </c>
      <c r="G113" s="91">
        <f t="shared" si="3"/>
        <v>0</v>
      </c>
      <c r="H113" s="35"/>
    </row>
    <row r="114" spans="1:8" s="34" customFormat="1" x14ac:dyDescent="0.2">
      <c r="A114" s="156" t="s">
        <v>48</v>
      </c>
      <c r="B114" s="741" t="s">
        <v>59</v>
      </c>
      <c r="C114" s="742"/>
      <c r="D114" s="742"/>
      <c r="E114" s="44">
        <v>0</v>
      </c>
      <c r="F114" s="47">
        <v>1</v>
      </c>
      <c r="G114" s="91">
        <f t="shared" si="3"/>
        <v>0</v>
      </c>
      <c r="H114" s="35"/>
    </row>
    <row r="115" spans="1:8" s="34" customFormat="1" x14ac:dyDescent="0.2">
      <c r="A115" s="36" t="s">
        <v>50</v>
      </c>
      <c r="B115" s="791" t="s">
        <v>59</v>
      </c>
      <c r="C115" s="792"/>
      <c r="D115" s="792"/>
      <c r="E115" s="44">
        <v>0</v>
      </c>
      <c r="F115" s="47">
        <v>1</v>
      </c>
      <c r="G115" s="91">
        <f t="shared" si="3"/>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0.03</v>
      </c>
      <c r="G124" s="95">
        <f ca="1">ROUND(G$139*F124,2)</f>
        <v>146.81</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0.03</v>
      </c>
      <c r="G127" s="117">
        <f ca="1">SUM(G122:G126)</f>
        <v>146.81</v>
      </c>
      <c r="H127" s="4">
        <f ca="1">ROUND(G139*F127,2)</f>
        <v>146.81</v>
      </c>
    </row>
    <row r="128" spans="1:8" x14ac:dyDescent="0.2">
      <c r="A128" s="758" t="s">
        <v>104</v>
      </c>
      <c r="B128" s="759"/>
      <c r="C128" s="759"/>
      <c r="D128" s="759"/>
      <c r="E128" s="759"/>
      <c r="F128" s="23">
        <f>SUM(F119,F120,F127)</f>
        <v>0.03</v>
      </c>
      <c r="G128" s="113">
        <f ca="1">SUM(G119:G126)</f>
        <v>146.81</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2324.4</v>
      </c>
      <c r="H130" s="4"/>
    </row>
    <row r="131" spans="1:8" x14ac:dyDescent="0.2">
      <c r="A131" s="108" t="s">
        <v>29</v>
      </c>
      <c r="B131" s="749" t="s">
        <v>107</v>
      </c>
      <c r="C131" s="750"/>
      <c r="D131" s="750"/>
      <c r="E131" s="750"/>
      <c r="F131" s="751"/>
      <c r="G131" s="109">
        <f>G68</f>
        <v>2422.46</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4746.8599999999997</v>
      </c>
      <c r="H135" s="4"/>
    </row>
    <row r="136" spans="1:8" x14ac:dyDescent="0.2">
      <c r="A136" s="108" t="s">
        <v>34</v>
      </c>
      <c r="B136" s="755" t="s">
        <v>112</v>
      </c>
      <c r="C136" s="756"/>
      <c r="D136" s="756"/>
      <c r="E136" s="756"/>
      <c r="F136" s="757"/>
      <c r="G136" s="109">
        <f ca="1">G128</f>
        <v>146.81</v>
      </c>
      <c r="H136" s="4"/>
    </row>
    <row r="137" spans="1:8" x14ac:dyDescent="0.2">
      <c r="A137" s="758" t="s">
        <v>113</v>
      </c>
      <c r="B137" s="759"/>
      <c r="C137" s="759"/>
      <c r="D137" s="759"/>
      <c r="E137" s="759"/>
      <c r="F137" s="760"/>
      <c r="G137" s="93">
        <f ca="1">SUM(G135:G136)</f>
        <v>4893.67</v>
      </c>
      <c r="H137" s="4">
        <f ca="1">SUM(G130:G136)-G135</f>
        <v>4893.67</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4893.67</v>
      </c>
      <c r="H139" s="4"/>
    </row>
    <row r="140" spans="1:8" x14ac:dyDescent="0.2">
      <c r="A140" s="118"/>
      <c r="B140" s="607" t="s">
        <v>115</v>
      </c>
      <c r="C140" s="607"/>
      <c r="D140" s="607"/>
      <c r="E140" s="607"/>
      <c r="F140" s="608">
        <f>F21</f>
        <v>1</v>
      </c>
      <c r="G140" s="610">
        <f ca="1">G139*F140</f>
        <v>4893.67</v>
      </c>
      <c r="H140" s="4"/>
    </row>
    <row r="141" spans="1:8" x14ac:dyDescent="0.2">
      <c r="F141" s="6"/>
    </row>
    <row r="148" spans="7:7" x14ac:dyDescent="0.2">
      <c r="G148" s="32"/>
    </row>
  </sheetData>
  <mergeCells count="149">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 ref="A19:E19"/>
    <mergeCell ref="F19:G19"/>
    <mergeCell ref="A14:G14"/>
    <mergeCell ref="A15:E15"/>
    <mergeCell ref="F15:G15"/>
    <mergeCell ref="A16:E16"/>
    <mergeCell ref="F16:G16"/>
    <mergeCell ref="A23:E23"/>
    <mergeCell ref="F23:G23"/>
    <mergeCell ref="A24:G24"/>
    <mergeCell ref="A25:G25"/>
    <mergeCell ref="B26:E26"/>
    <mergeCell ref="A20:E20"/>
    <mergeCell ref="F20:G20"/>
    <mergeCell ref="A21:E21"/>
    <mergeCell ref="F21:G21"/>
    <mergeCell ref="A22:E22"/>
    <mergeCell ref="F22:G22"/>
    <mergeCell ref="B33:E33"/>
    <mergeCell ref="A34:F34"/>
    <mergeCell ref="A35:G35"/>
    <mergeCell ref="A36:G36"/>
    <mergeCell ref="B37:E37"/>
    <mergeCell ref="B27:E27"/>
    <mergeCell ref="B28:E28"/>
    <mergeCell ref="B29:E29"/>
    <mergeCell ref="B31:E31"/>
    <mergeCell ref="B32:E32"/>
    <mergeCell ref="B30:E30"/>
    <mergeCell ref="B44:E44"/>
    <mergeCell ref="B45:E45"/>
    <mergeCell ref="B46:E46"/>
    <mergeCell ref="B47:E47"/>
    <mergeCell ref="B48:E48"/>
    <mergeCell ref="B38:E38"/>
    <mergeCell ref="B39:E39"/>
    <mergeCell ref="A41:E41"/>
    <mergeCell ref="A42:G42"/>
    <mergeCell ref="B43:E43"/>
    <mergeCell ref="B57:D57"/>
    <mergeCell ref="B58:D58"/>
    <mergeCell ref="A63:F63"/>
    <mergeCell ref="A64:G64"/>
    <mergeCell ref="A52:G52"/>
    <mergeCell ref="B53:D53"/>
    <mergeCell ref="B54:D54"/>
    <mergeCell ref="B55:D55"/>
    <mergeCell ref="B56:D56"/>
    <mergeCell ref="B62:D62"/>
    <mergeCell ref="B61:D61"/>
    <mergeCell ref="B60:D60"/>
    <mergeCell ref="B59:D59"/>
    <mergeCell ref="B71:E71"/>
    <mergeCell ref="B72:E72"/>
    <mergeCell ref="B73:E73"/>
    <mergeCell ref="B74:E74"/>
    <mergeCell ref="B75:E75"/>
    <mergeCell ref="B65:E65"/>
    <mergeCell ref="B66:E66"/>
    <mergeCell ref="B67:F67"/>
    <mergeCell ref="A68:F68"/>
    <mergeCell ref="A69:G69"/>
    <mergeCell ref="B81:E81"/>
    <mergeCell ref="B82:E82"/>
    <mergeCell ref="B83:E83"/>
    <mergeCell ref="B84:E84"/>
    <mergeCell ref="B85:E85"/>
    <mergeCell ref="B76:E76"/>
    <mergeCell ref="A77:E77"/>
    <mergeCell ref="A78:G78"/>
    <mergeCell ref="A79:G79"/>
    <mergeCell ref="B80:E80"/>
    <mergeCell ref="B91:E91"/>
    <mergeCell ref="A92:E92"/>
    <mergeCell ref="A93:G93"/>
    <mergeCell ref="B94:E94"/>
    <mergeCell ref="A86:E86"/>
    <mergeCell ref="A87:G87"/>
    <mergeCell ref="B88:E88"/>
    <mergeCell ref="B89:E89"/>
    <mergeCell ref="B90:E90"/>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 ref="B104:E104"/>
    <mergeCell ref="A106:F10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103"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395</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488</v>
      </c>
      <c r="B10" s="828"/>
      <c r="C10" s="828"/>
      <c r="D10" s="828"/>
      <c r="E10" s="829"/>
      <c r="F10" s="864" t="s">
        <v>487</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216</v>
      </c>
      <c r="G16" s="844"/>
      <c r="H16" s="3"/>
    </row>
    <row r="17" spans="1:8" ht="14.1" customHeight="1" x14ac:dyDescent="0.2">
      <c r="A17" s="827" t="s">
        <v>21</v>
      </c>
      <c r="B17" s="828"/>
      <c r="C17" s="828"/>
      <c r="D17" s="828"/>
      <c r="E17" s="829"/>
      <c r="F17" s="843" t="s">
        <v>218</v>
      </c>
      <c r="G17" s="844"/>
      <c r="H17" s="3"/>
    </row>
    <row r="18" spans="1:8" ht="14.1" customHeight="1" x14ac:dyDescent="0.2">
      <c r="A18" s="827" t="s">
        <v>1</v>
      </c>
      <c r="B18" s="828"/>
      <c r="C18" s="828"/>
      <c r="D18" s="828"/>
      <c r="E18" s="829"/>
      <c r="F18" s="837">
        <v>1732.39</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5.5" customHeight="1" x14ac:dyDescent="0.2">
      <c r="A24" s="873" t="s">
        <v>433</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120" t="s">
        <v>27</v>
      </c>
      <c r="G26" s="88" t="s">
        <v>3</v>
      </c>
    </row>
    <row r="27" spans="1:8" s="34" customFormat="1" x14ac:dyDescent="0.2">
      <c r="A27" s="89" t="s">
        <v>28</v>
      </c>
      <c r="B27" s="822" t="s">
        <v>153</v>
      </c>
      <c r="C27" s="822"/>
      <c r="D27" s="822"/>
      <c r="E27" s="822"/>
      <c r="F27" s="90">
        <v>1</v>
      </c>
      <c r="G27" s="91">
        <f>F18*F27</f>
        <v>1732.39</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2035.99</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169.6</v>
      </c>
      <c r="H37" s="53"/>
    </row>
    <row r="38" spans="1:8" x14ac:dyDescent="0.2">
      <c r="A38" s="96" t="s">
        <v>29</v>
      </c>
      <c r="B38" s="804" t="s">
        <v>157</v>
      </c>
      <c r="C38" s="805"/>
      <c r="D38" s="805"/>
      <c r="E38" s="817"/>
      <c r="F38" s="97">
        <f>ROUND((1/11)+(1/11)/3, 3)</f>
        <v>0.121</v>
      </c>
      <c r="G38" s="8">
        <f>ROUND(G$34*F38,2)</f>
        <v>246.35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86" t="s">
        <v>41</v>
      </c>
      <c r="B41" s="787"/>
      <c r="C41" s="787"/>
      <c r="D41" s="787"/>
      <c r="E41" s="785"/>
      <c r="F41" s="41">
        <f>ROUND(SUM(F39:F40),4)</f>
        <v>0.27339999999999998</v>
      </c>
      <c r="G41" s="100">
        <f>SUM(G37:G40)</f>
        <v>556.64</v>
      </c>
      <c r="H41" s="4">
        <f>ROUND(G34*F41,2)</f>
        <v>556.64</v>
      </c>
    </row>
    <row r="42" spans="1:8" x14ac:dyDescent="0.2">
      <c r="A42" s="779" t="s">
        <v>118</v>
      </c>
      <c r="B42" s="780"/>
      <c r="C42" s="780"/>
      <c r="D42" s="780"/>
      <c r="E42" s="780"/>
      <c r="F42" s="780"/>
      <c r="G42" s="781"/>
      <c r="H42" s="4">
        <f>SUM(G41,G34)</f>
        <v>2592.63</v>
      </c>
    </row>
    <row r="43" spans="1:8" x14ac:dyDescent="0.2">
      <c r="A43" s="42" t="s">
        <v>28</v>
      </c>
      <c r="B43" s="782" t="s">
        <v>42</v>
      </c>
      <c r="C43" s="783"/>
      <c r="D43" s="783"/>
      <c r="E43" s="819"/>
      <c r="F43" s="43">
        <v>0.2</v>
      </c>
      <c r="G43" s="22">
        <f>ROUND((G$34)*F43,2)</f>
        <v>407.2</v>
      </c>
      <c r="H43" s="4"/>
    </row>
    <row r="44" spans="1:8" x14ac:dyDescent="0.2">
      <c r="A44" s="36" t="s">
        <v>29</v>
      </c>
      <c r="B44" s="802" t="s">
        <v>43</v>
      </c>
      <c r="C44" s="803"/>
      <c r="D44" s="803"/>
      <c r="E44" s="816"/>
      <c r="F44" s="94">
        <v>2.5000000000000001E-2</v>
      </c>
      <c r="G44" s="101">
        <f>ROUND((G$34)*F44,2)</f>
        <v>50.9</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30.54</v>
      </c>
      <c r="H46" s="4"/>
    </row>
    <row r="47" spans="1:8" x14ac:dyDescent="0.2">
      <c r="A47" s="36" t="s">
        <v>32</v>
      </c>
      <c r="B47" s="802" t="s">
        <v>46</v>
      </c>
      <c r="C47" s="803"/>
      <c r="D47" s="803"/>
      <c r="E47" s="816"/>
      <c r="F47" s="94">
        <v>0.01</v>
      </c>
      <c r="G47" s="101">
        <f t="shared" si="0"/>
        <v>20.36</v>
      </c>
      <c r="H47" s="4"/>
    </row>
    <row r="48" spans="1:8" x14ac:dyDescent="0.2">
      <c r="A48" s="36" t="s">
        <v>34</v>
      </c>
      <c r="B48" s="802" t="s">
        <v>47</v>
      </c>
      <c r="C48" s="803"/>
      <c r="D48" s="803"/>
      <c r="E48" s="816"/>
      <c r="F48" s="94">
        <v>6.0000000000000001E-3</v>
      </c>
      <c r="G48" s="101">
        <f t="shared" si="0"/>
        <v>12.22</v>
      </c>
      <c r="H48" s="4"/>
    </row>
    <row r="49" spans="1:8" x14ac:dyDescent="0.2">
      <c r="A49" s="36" t="s">
        <v>48</v>
      </c>
      <c r="B49" s="802" t="s">
        <v>49</v>
      </c>
      <c r="C49" s="803"/>
      <c r="D49" s="803"/>
      <c r="E49" s="816"/>
      <c r="F49" s="94">
        <v>2E-3</v>
      </c>
      <c r="G49" s="101">
        <f t="shared" si="0"/>
        <v>4.07</v>
      </c>
      <c r="H49" s="4"/>
    </row>
    <row r="50" spans="1:8" x14ac:dyDescent="0.2">
      <c r="A50" s="96" t="s">
        <v>50</v>
      </c>
      <c r="B50" s="804" t="s">
        <v>51</v>
      </c>
      <c r="C50" s="805"/>
      <c r="D50" s="805"/>
      <c r="E50" s="817"/>
      <c r="F50" s="97">
        <v>0.08</v>
      </c>
      <c r="G50" s="101">
        <f t="shared" si="0"/>
        <v>162.88</v>
      </c>
      <c r="H50" s="4"/>
    </row>
    <row r="51" spans="1:8" x14ac:dyDescent="0.2">
      <c r="A51" s="786" t="s">
        <v>52</v>
      </c>
      <c r="B51" s="787"/>
      <c r="C51" s="787"/>
      <c r="D51" s="787"/>
      <c r="E51" s="785"/>
      <c r="F51" s="41">
        <f>SUM(F43:F50)</f>
        <v>0.33800000000000002</v>
      </c>
      <c r="G51" s="100">
        <f>SUM(G43:G50)</f>
        <v>688.17</v>
      </c>
      <c r="H51" s="4">
        <f>ROUND(G34*F51,2)</f>
        <v>688.16</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(12.5-1.4)</f>
        <v>11.1</v>
      </c>
      <c r="F54" s="103">
        <v>26</v>
      </c>
      <c r="G54" s="91">
        <f>ROUND((E54*F54),2)</f>
        <v>288.60000000000002</v>
      </c>
      <c r="H54" s="35"/>
    </row>
    <row r="55" spans="1:8" s="34" customFormat="1" x14ac:dyDescent="0.2">
      <c r="A55" s="36" t="s">
        <v>30</v>
      </c>
      <c r="B55" s="808" t="s">
        <v>58</v>
      </c>
      <c r="C55" s="809"/>
      <c r="D55" s="809"/>
      <c r="E55" s="102">
        <f>138.6</f>
        <v>138.6</v>
      </c>
      <c r="F55" s="103">
        <v>1</v>
      </c>
      <c r="G55" s="91">
        <f>ROUND((E55*F55),2)</f>
        <v>138.6</v>
      </c>
      <c r="H55" s="35"/>
    </row>
    <row r="56" spans="1:8" s="34" customFormat="1" x14ac:dyDescent="0.2">
      <c r="A56" s="36" t="s">
        <v>31</v>
      </c>
      <c r="B56" s="808" t="s">
        <v>254</v>
      </c>
      <c r="C56" s="809"/>
      <c r="D56" s="809"/>
      <c r="E56" s="102">
        <v>34.94</v>
      </c>
      <c r="F56" s="103">
        <v>1</v>
      </c>
      <c r="G56" s="91">
        <f>ROUND((E56*F56),2)</f>
        <v>34.94</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217</v>
      </c>
      <c r="C58" s="809"/>
      <c r="D58" s="809"/>
      <c r="E58" s="102">
        <f>ROUND(((F18/220)*8)*1.5,2)</f>
        <v>94.49</v>
      </c>
      <c r="F58" s="103">
        <v>1</v>
      </c>
      <c r="G58" s="91">
        <f>ROUND((E58*F58)/12,2)</f>
        <v>7.87</v>
      </c>
      <c r="H58" s="35"/>
    </row>
    <row r="59" spans="1:8" s="34" customFormat="1" x14ac:dyDescent="0.2">
      <c r="A59" s="36" t="s">
        <v>48</v>
      </c>
      <c r="B59" s="814" t="s">
        <v>180</v>
      </c>
      <c r="C59" s="815"/>
      <c r="D59" s="815"/>
      <c r="E59" s="102">
        <f>9.31</f>
        <v>9.31</v>
      </c>
      <c r="F59" s="104">
        <v>1</v>
      </c>
      <c r="G59" s="105">
        <f>ROUND((E59*F59),2)</f>
        <v>9.31</v>
      </c>
      <c r="H59" s="35"/>
    </row>
    <row r="60" spans="1:8" s="34" customFormat="1" x14ac:dyDescent="0.2">
      <c r="A60" s="36" t="s">
        <v>50</v>
      </c>
      <c r="B60" s="808" t="s">
        <v>152</v>
      </c>
      <c r="C60" s="809"/>
      <c r="D60" s="809"/>
      <c r="E60" s="102">
        <v>0</v>
      </c>
      <c r="F60" s="103">
        <v>1</v>
      </c>
      <c r="G60" s="91">
        <f>ROUND((E60*F60)/12,2)</f>
        <v>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479.32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556.64</v>
      </c>
      <c r="H65" s="4"/>
    </row>
    <row r="66" spans="1:8" x14ac:dyDescent="0.2">
      <c r="A66" s="108" t="s">
        <v>64</v>
      </c>
      <c r="B66" s="749" t="s">
        <v>128</v>
      </c>
      <c r="C66" s="750"/>
      <c r="D66" s="750"/>
      <c r="E66" s="750"/>
      <c r="F66" s="18">
        <f>F51</f>
        <v>0.33800000000000002</v>
      </c>
      <c r="G66" s="109">
        <f>G51</f>
        <v>688.17</v>
      </c>
      <c r="H66" s="4"/>
    </row>
    <row r="67" spans="1:8" x14ac:dyDescent="0.2">
      <c r="A67" s="108" t="s">
        <v>65</v>
      </c>
      <c r="B67" s="749" t="s">
        <v>66</v>
      </c>
      <c r="C67" s="750"/>
      <c r="D67" s="750"/>
      <c r="E67" s="750"/>
      <c r="F67" s="751"/>
      <c r="G67" s="109">
        <f>G63</f>
        <v>479.32</v>
      </c>
      <c r="H67" s="4"/>
    </row>
    <row r="68" spans="1:8" x14ac:dyDescent="0.2">
      <c r="A68" s="758" t="s">
        <v>67</v>
      </c>
      <c r="B68" s="759"/>
      <c r="C68" s="759"/>
      <c r="D68" s="759"/>
      <c r="E68" s="759"/>
      <c r="F68" s="760"/>
      <c r="G68" s="93">
        <f>SUM(G65:G67)</f>
        <v>1724.13</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EPI''s'!E17</f>
        <v>0</v>
      </c>
      <c r="F108" s="24">
        <v>1</v>
      </c>
      <c r="G108" s="91">
        <f>ROUND((E108*F108),2)</f>
        <v>0</v>
      </c>
      <c r="H108" s="4"/>
    </row>
    <row r="109" spans="1:8" s="34" customFormat="1" x14ac:dyDescent="0.2">
      <c r="A109" s="36" t="s">
        <v>29</v>
      </c>
      <c r="B109" s="790" t="str">
        <f>'Uniformes e EPI''s'!A19</f>
        <v>EPI's</v>
      </c>
      <c r="C109" s="742"/>
      <c r="D109" s="742"/>
      <c r="E109" s="44">
        <f>'Uniformes e EPI''s'!D39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0.03</v>
      </c>
      <c r="G124" s="95">
        <f ca="1">ROUND(G$139*F124,2)</f>
        <v>116.29</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0.03</v>
      </c>
      <c r="G127" s="117">
        <f ca="1">SUM(G122:G126)</f>
        <v>116.29</v>
      </c>
      <c r="H127" s="4">
        <f ca="1">ROUND(G139*F127,2)</f>
        <v>116.29</v>
      </c>
    </row>
    <row r="128" spans="1:8" x14ac:dyDescent="0.2">
      <c r="A128" s="758" t="s">
        <v>104</v>
      </c>
      <c r="B128" s="759"/>
      <c r="C128" s="759"/>
      <c r="D128" s="759"/>
      <c r="E128" s="759"/>
      <c r="F128" s="23">
        <f>SUM(F119,F120,F127)</f>
        <v>0.03</v>
      </c>
      <c r="G128" s="113">
        <f ca="1">SUM(G119:G126)</f>
        <v>116.29</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2035.99</v>
      </c>
      <c r="H130" s="4"/>
    </row>
    <row r="131" spans="1:8" x14ac:dyDescent="0.2">
      <c r="A131" s="108" t="s">
        <v>29</v>
      </c>
      <c r="B131" s="749" t="s">
        <v>107</v>
      </c>
      <c r="C131" s="750"/>
      <c r="D131" s="750"/>
      <c r="E131" s="750"/>
      <c r="F131" s="751"/>
      <c r="G131" s="109">
        <f>G68</f>
        <v>1724.13</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3760.12</v>
      </c>
      <c r="H135" s="4"/>
    </row>
    <row r="136" spans="1:8" x14ac:dyDescent="0.2">
      <c r="A136" s="108" t="s">
        <v>34</v>
      </c>
      <c r="B136" s="755" t="s">
        <v>112</v>
      </c>
      <c r="C136" s="756"/>
      <c r="D136" s="756"/>
      <c r="E136" s="756"/>
      <c r="F136" s="757"/>
      <c r="G136" s="109">
        <f ca="1">G128</f>
        <v>116.29</v>
      </c>
      <c r="H136" s="4"/>
    </row>
    <row r="137" spans="1:8" x14ac:dyDescent="0.2">
      <c r="A137" s="758" t="s">
        <v>113</v>
      </c>
      <c r="B137" s="759"/>
      <c r="C137" s="759"/>
      <c r="D137" s="759"/>
      <c r="E137" s="759"/>
      <c r="F137" s="760"/>
      <c r="G137" s="93">
        <f ca="1">SUM(G135:G136)</f>
        <v>3876.41</v>
      </c>
      <c r="H137" s="4">
        <f ca="1">SUM(G130:G136)-G135</f>
        <v>3876.41</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3876.41</v>
      </c>
      <c r="H139" s="4"/>
    </row>
    <row r="140" spans="1:8" x14ac:dyDescent="0.2">
      <c r="A140" s="118"/>
      <c r="B140" s="607" t="s">
        <v>115</v>
      </c>
      <c r="C140" s="607"/>
      <c r="D140" s="607"/>
      <c r="E140" s="607"/>
      <c r="F140" s="608">
        <f>F21</f>
        <v>1</v>
      </c>
      <c r="G140" s="609">
        <f ca="1">G139*F140</f>
        <v>3876.41</v>
      </c>
      <c r="H140" s="4"/>
    </row>
    <row r="141" spans="1:8" x14ac:dyDescent="0.2">
      <c r="F141" s="119"/>
    </row>
    <row r="148" spans="7:7" x14ac:dyDescent="0.2">
      <c r="G148" s="32"/>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B134:F134"/>
    <mergeCell ref="B135:F135"/>
    <mergeCell ref="B136:F136"/>
    <mergeCell ref="A137:F137"/>
    <mergeCell ref="A138:G138"/>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I151"/>
  <sheetViews>
    <sheetView view="pageBreakPreview" topLeftCell="A110"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967" t="s">
        <v>444</v>
      </c>
      <c r="B2" s="968"/>
      <c r="C2" s="968"/>
      <c r="D2" s="271"/>
      <c r="E2" s="271"/>
      <c r="F2" s="969" t="s">
        <v>449</v>
      </c>
      <c r="G2" s="970"/>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971" t="s">
        <v>5</v>
      </c>
      <c r="B5" s="972"/>
      <c r="C5" s="972"/>
      <c r="D5" s="972"/>
      <c r="E5" s="972"/>
      <c r="F5" s="973"/>
      <c r="G5" s="974"/>
    </row>
    <row r="6" spans="1:8" ht="12.75" customHeight="1" x14ac:dyDescent="0.2">
      <c r="A6" s="947" t="s">
        <v>16</v>
      </c>
      <c r="B6" s="948"/>
      <c r="C6" s="948"/>
      <c r="D6" s="948"/>
      <c r="E6" s="949"/>
      <c r="F6" s="959"/>
      <c r="G6" s="960"/>
    </row>
    <row r="7" spans="1:8" ht="14.1" customHeight="1" x14ac:dyDescent="0.2">
      <c r="A7" s="947" t="s">
        <v>11</v>
      </c>
      <c r="B7" s="948"/>
      <c r="C7" s="948"/>
      <c r="D7" s="948"/>
      <c r="E7" s="949"/>
      <c r="F7" s="977" t="s">
        <v>395</v>
      </c>
      <c r="G7" s="960"/>
    </row>
    <row r="8" spans="1:8" ht="19.5" customHeight="1" x14ac:dyDescent="0.2">
      <c r="A8" s="978" t="s">
        <v>146</v>
      </c>
      <c r="B8" s="979"/>
      <c r="C8" s="979"/>
      <c r="D8" s="979"/>
      <c r="E8" s="979"/>
      <c r="F8" s="979"/>
      <c r="G8" s="980"/>
    </row>
    <row r="9" spans="1:8" ht="19.5" customHeight="1" x14ac:dyDescent="0.2">
      <c r="A9" s="981"/>
      <c r="B9" s="982"/>
      <c r="C9" s="982"/>
      <c r="D9" s="982"/>
      <c r="E9" s="982"/>
      <c r="F9" s="982"/>
      <c r="G9" s="983"/>
    </row>
    <row r="10" spans="1:8" ht="14.1" customHeight="1" x14ac:dyDescent="0.2">
      <c r="A10" s="950" t="s">
        <v>17</v>
      </c>
      <c r="B10" s="951"/>
      <c r="C10" s="951"/>
      <c r="D10" s="951"/>
      <c r="E10" s="952"/>
      <c r="F10" s="975">
        <v>2025</v>
      </c>
      <c r="G10" s="976"/>
    </row>
    <row r="11" spans="1:8" ht="14.1" customHeight="1" x14ac:dyDescent="0.2">
      <c r="A11" s="950" t="s">
        <v>18</v>
      </c>
      <c r="B11" s="951"/>
      <c r="C11" s="951"/>
      <c r="D11" s="951"/>
      <c r="E11" s="952"/>
      <c r="F11" s="975" t="s">
        <v>397</v>
      </c>
      <c r="G11" s="976"/>
    </row>
    <row r="12" spans="1:8" ht="14.1" customHeight="1" x14ac:dyDescent="0.2">
      <c r="A12" s="950" t="s">
        <v>19</v>
      </c>
      <c r="B12" s="951"/>
      <c r="C12" s="951"/>
      <c r="D12" s="951"/>
      <c r="E12" s="952"/>
      <c r="F12" s="975" t="s">
        <v>20</v>
      </c>
      <c r="G12" s="976"/>
    </row>
    <row r="13" spans="1:8" ht="14.1" customHeight="1" x14ac:dyDescent="0.2">
      <c r="A13" s="950" t="s">
        <v>10</v>
      </c>
      <c r="B13" s="951"/>
      <c r="C13" s="951"/>
      <c r="D13" s="951"/>
      <c r="E13" s="952"/>
      <c r="F13" s="975" t="s">
        <v>9</v>
      </c>
      <c r="G13" s="976"/>
    </row>
    <row r="14" spans="1:8" ht="14.1" customHeight="1" x14ac:dyDescent="0.2">
      <c r="A14" s="890" t="s">
        <v>6</v>
      </c>
      <c r="B14" s="891"/>
      <c r="C14" s="891"/>
      <c r="D14" s="891"/>
      <c r="E14" s="891"/>
      <c r="F14" s="892"/>
      <c r="G14" s="893"/>
    </row>
    <row r="15" spans="1:8" ht="14.1" customHeight="1" x14ac:dyDescent="0.2">
      <c r="A15" s="950" t="s">
        <v>7</v>
      </c>
      <c r="B15" s="951"/>
      <c r="C15" s="951"/>
      <c r="D15" s="951"/>
      <c r="E15" s="952"/>
      <c r="F15" s="954">
        <v>1518</v>
      </c>
      <c r="G15" s="955"/>
    </row>
    <row r="16" spans="1:8" ht="13.5" customHeight="1" x14ac:dyDescent="0.2">
      <c r="A16" s="950" t="s">
        <v>0</v>
      </c>
      <c r="B16" s="951"/>
      <c r="C16" s="951"/>
      <c r="D16" s="951"/>
      <c r="E16" s="952"/>
      <c r="F16" s="961" t="s">
        <v>398</v>
      </c>
      <c r="G16" s="962"/>
      <c r="H16" s="3"/>
    </row>
    <row r="17" spans="1:8" ht="14.1" customHeight="1" x14ac:dyDescent="0.2">
      <c r="A17" s="950" t="s">
        <v>21</v>
      </c>
      <c r="B17" s="951"/>
      <c r="C17" s="951"/>
      <c r="D17" s="951"/>
      <c r="E17" s="952"/>
      <c r="F17" s="963" t="s">
        <v>399</v>
      </c>
      <c r="G17" s="964"/>
      <c r="H17" s="3"/>
    </row>
    <row r="18" spans="1:8" ht="14.1" customHeight="1" x14ac:dyDescent="0.2">
      <c r="A18" s="950" t="s">
        <v>1</v>
      </c>
      <c r="B18" s="951"/>
      <c r="C18" s="951"/>
      <c r="D18" s="951"/>
      <c r="E18" s="952"/>
      <c r="F18" s="965">
        <v>1766.58</v>
      </c>
      <c r="G18" s="966"/>
    </row>
    <row r="19" spans="1:8" ht="14.1" customHeight="1" x14ac:dyDescent="0.2">
      <c r="A19" s="947" t="s">
        <v>8</v>
      </c>
      <c r="B19" s="948"/>
      <c r="C19" s="948"/>
      <c r="D19" s="948"/>
      <c r="E19" s="949"/>
      <c r="F19" s="839">
        <v>45658</v>
      </c>
      <c r="G19" s="840"/>
    </row>
    <row r="20" spans="1:8" ht="14.1" customHeight="1" x14ac:dyDescent="0.2">
      <c r="A20" s="950" t="s">
        <v>22</v>
      </c>
      <c r="B20" s="951"/>
      <c r="C20" s="951"/>
      <c r="D20" s="951"/>
      <c r="E20" s="952"/>
      <c r="F20" s="830" t="s">
        <v>140</v>
      </c>
      <c r="G20" s="831"/>
    </row>
    <row r="21" spans="1:8" ht="14.1" customHeight="1" x14ac:dyDescent="0.2">
      <c r="A21" s="947" t="s">
        <v>23</v>
      </c>
      <c r="B21" s="948"/>
      <c r="C21" s="948"/>
      <c r="D21" s="948"/>
      <c r="E21" s="949"/>
      <c r="F21" s="835">
        <v>1</v>
      </c>
      <c r="G21" s="836"/>
    </row>
    <row r="22" spans="1:8" ht="14.1" customHeight="1" x14ac:dyDescent="0.2">
      <c r="A22" s="947" t="s">
        <v>24</v>
      </c>
      <c r="B22" s="948"/>
      <c r="C22" s="948"/>
      <c r="D22" s="948"/>
      <c r="E22" s="949"/>
      <c r="F22" s="835">
        <v>1</v>
      </c>
      <c r="G22" s="836"/>
    </row>
    <row r="23" spans="1:8" ht="12.75" customHeight="1" x14ac:dyDescent="0.2">
      <c r="A23" s="947" t="s">
        <v>25</v>
      </c>
      <c r="B23" s="948"/>
      <c r="C23" s="948"/>
      <c r="D23" s="948"/>
      <c r="E23" s="949"/>
      <c r="F23" s="956" t="s">
        <v>214</v>
      </c>
      <c r="G23" s="957"/>
    </row>
    <row r="24" spans="1:8" ht="21" customHeight="1" x14ac:dyDescent="0.2">
      <c r="A24" s="958" t="s">
        <v>434</v>
      </c>
      <c r="B24" s="959"/>
      <c r="C24" s="959"/>
      <c r="D24" s="959"/>
      <c r="E24" s="959"/>
      <c r="F24" s="959"/>
      <c r="G24" s="960"/>
    </row>
    <row r="25" spans="1:8" x14ac:dyDescent="0.2">
      <c r="A25" s="890" t="s">
        <v>2</v>
      </c>
      <c r="B25" s="891"/>
      <c r="C25" s="891"/>
      <c r="D25" s="891"/>
      <c r="E25" s="891"/>
      <c r="F25" s="892"/>
      <c r="G25" s="893"/>
    </row>
    <row r="26" spans="1:8" x14ac:dyDescent="0.2">
      <c r="A26" s="272">
        <v>1</v>
      </c>
      <c r="B26" s="944" t="s">
        <v>26</v>
      </c>
      <c r="C26" s="944"/>
      <c r="D26" s="944"/>
      <c r="E26" s="944"/>
      <c r="F26" s="273" t="s">
        <v>27</v>
      </c>
      <c r="G26" s="274" t="s">
        <v>3</v>
      </c>
    </row>
    <row r="27" spans="1:8" x14ac:dyDescent="0.2">
      <c r="A27" s="275" t="s">
        <v>28</v>
      </c>
      <c r="B27" s="945" t="s">
        <v>400</v>
      </c>
      <c r="C27" s="945"/>
      <c r="D27" s="945"/>
      <c r="E27" s="945"/>
      <c r="F27" s="276">
        <v>1</v>
      </c>
      <c r="G27" s="277">
        <f>F18*F27</f>
        <v>1766.58</v>
      </c>
      <c r="H27" s="278"/>
    </row>
    <row r="28" spans="1:8" x14ac:dyDescent="0.2">
      <c r="A28" s="275" t="s">
        <v>29</v>
      </c>
      <c r="B28" s="946" t="s">
        <v>117</v>
      </c>
      <c r="C28" s="946"/>
      <c r="D28" s="946"/>
      <c r="E28" s="946"/>
      <c r="F28" s="279">
        <v>0</v>
      </c>
      <c r="G28" s="277">
        <f>ROUND(G27*F28,2)</f>
        <v>0</v>
      </c>
      <c r="H28" s="278"/>
    </row>
    <row r="29" spans="1:8" x14ac:dyDescent="0.2">
      <c r="A29" s="275" t="s">
        <v>30</v>
      </c>
      <c r="B29" s="946" t="s">
        <v>15</v>
      </c>
      <c r="C29" s="946"/>
      <c r="D29" s="946"/>
      <c r="E29" s="946"/>
      <c r="F29" s="279">
        <v>0.2</v>
      </c>
      <c r="G29" s="277">
        <f>ROUND(F15*F29,2)</f>
        <v>303.60000000000002</v>
      </c>
      <c r="H29" s="278"/>
    </row>
    <row r="30" spans="1:8" x14ac:dyDescent="0.2">
      <c r="A30" s="275" t="s">
        <v>31</v>
      </c>
      <c r="B30" s="820" t="s">
        <v>154</v>
      </c>
      <c r="C30" s="820"/>
      <c r="D30" s="820"/>
      <c r="E30" s="820"/>
      <c r="F30" s="276"/>
      <c r="G30" s="277">
        <f>ROUND(ROUND(ROUND((SUM(G27:G29)+G33)/220,2)*0.2,2)*F30,2)</f>
        <v>0</v>
      </c>
      <c r="H30" s="278"/>
    </row>
    <row r="31" spans="1:8" x14ac:dyDescent="0.2">
      <c r="A31" s="275" t="s">
        <v>32</v>
      </c>
      <c r="B31" s="820" t="s">
        <v>33</v>
      </c>
      <c r="C31" s="820"/>
      <c r="D31" s="820"/>
      <c r="E31" s="820"/>
      <c r="F31" s="276">
        <f>ROUND((ROUND((0*15.22),2)/52.5)*60,2)</f>
        <v>0</v>
      </c>
      <c r="G31" s="277">
        <f>ROUND(ROUND(ROUND((SUM(G27:G29)+G33)/220,2)*0.2,2)*F31,2)</f>
        <v>0</v>
      </c>
      <c r="H31" s="278"/>
    </row>
    <row r="32" spans="1:8" x14ac:dyDescent="0.2">
      <c r="A32" s="376" t="s">
        <v>34</v>
      </c>
      <c r="B32" s="820" t="s">
        <v>155</v>
      </c>
      <c r="C32" s="820"/>
      <c r="D32" s="820"/>
      <c r="E32" s="820"/>
      <c r="F32" s="276">
        <f>ROUND(SUM(F31)/25*5,2)</f>
        <v>0</v>
      </c>
      <c r="G32" s="277"/>
      <c r="H32" s="278"/>
    </row>
    <row r="33" spans="1:8" x14ac:dyDescent="0.2">
      <c r="A33" s="275" t="s">
        <v>48</v>
      </c>
      <c r="B33" s="820" t="s">
        <v>156</v>
      </c>
      <c r="C33" s="820"/>
      <c r="D33" s="820"/>
      <c r="E33" s="820"/>
      <c r="F33" s="279"/>
      <c r="G33" s="277">
        <f>ROUND(F18*F33,2)</f>
        <v>0</v>
      </c>
      <c r="H33" s="278"/>
    </row>
    <row r="34" spans="1:8" x14ac:dyDescent="0.2">
      <c r="A34" s="912" t="s">
        <v>35</v>
      </c>
      <c r="B34" s="884"/>
      <c r="C34" s="884"/>
      <c r="D34" s="884"/>
      <c r="E34" s="884"/>
      <c r="F34" s="953"/>
      <c r="G34" s="280">
        <f>SUM(G27:G33)</f>
        <v>2070.1799999999998</v>
      </c>
    </row>
    <row r="35" spans="1:8" x14ac:dyDescent="0.2">
      <c r="A35" s="890" t="s">
        <v>36</v>
      </c>
      <c r="B35" s="891"/>
      <c r="C35" s="891"/>
      <c r="D35" s="891"/>
      <c r="E35" s="891"/>
      <c r="F35" s="892"/>
      <c r="G35" s="893"/>
    </row>
    <row r="36" spans="1:8" x14ac:dyDescent="0.2">
      <c r="A36" s="906" t="s">
        <v>37</v>
      </c>
      <c r="B36" s="907"/>
      <c r="C36" s="907"/>
      <c r="D36" s="907"/>
      <c r="E36" s="907"/>
      <c r="F36" s="907"/>
      <c r="G36" s="908"/>
      <c r="H36" s="4"/>
    </row>
    <row r="37" spans="1:8" s="7" customFormat="1" x14ac:dyDescent="0.2">
      <c r="A37" s="156" t="s">
        <v>28</v>
      </c>
      <c r="B37" s="909" t="s">
        <v>38</v>
      </c>
      <c r="C37" s="910"/>
      <c r="D37" s="910"/>
      <c r="E37" s="943"/>
      <c r="F37" s="281">
        <v>8.3299999999999999E-2</v>
      </c>
      <c r="G37" s="95">
        <f>ROUND(G$34*F37,2)</f>
        <v>172.45</v>
      </c>
      <c r="H37" s="269"/>
    </row>
    <row r="38" spans="1:8" x14ac:dyDescent="0.2">
      <c r="A38" s="96" t="s">
        <v>29</v>
      </c>
      <c r="B38" s="928" t="s">
        <v>401</v>
      </c>
      <c r="C38" s="929"/>
      <c r="D38" s="929"/>
      <c r="E38" s="941"/>
      <c r="F38" s="282">
        <f>ROUND((1/11)+(1/11)/3, 3)</f>
        <v>0.121</v>
      </c>
      <c r="G38" s="283">
        <f>ROUND(G$34*F38,2)</f>
        <v>250.49</v>
      </c>
      <c r="H38" s="4"/>
    </row>
    <row r="39" spans="1:8" x14ac:dyDescent="0.2">
      <c r="A39" s="284"/>
      <c r="B39" s="942" t="s">
        <v>39</v>
      </c>
      <c r="C39" s="942"/>
      <c r="D39" s="942"/>
      <c r="E39" s="942"/>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897" t="s">
        <v>41</v>
      </c>
      <c r="B41" s="898"/>
      <c r="C41" s="898"/>
      <c r="D41" s="898"/>
      <c r="E41" s="899"/>
      <c r="F41" s="291">
        <f>ROUND(SUM(F39:F40),4)</f>
        <v>0.27339999999999998</v>
      </c>
      <c r="G41" s="292">
        <f>SUM(G37:G40)</f>
        <v>565.99</v>
      </c>
      <c r="H41" s="4">
        <f>ROUND(G34*F41,2)</f>
        <v>565.99</v>
      </c>
    </row>
    <row r="42" spans="1:8" x14ac:dyDescent="0.2">
      <c r="A42" s="906" t="s">
        <v>118</v>
      </c>
      <c r="B42" s="907"/>
      <c r="C42" s="907"/>
      <c r="D42" s="907"/>
      <c r="E42" s="907"/>
      <c r="F42" s="907"/>
      <c r="G42" s="908"/>
      <c r="H42" s="4"/>
    </row>
    <row r="43" spans="1:8" x14ac:dyDescent="0.2">
      <c r="A43" s="293" t="s">
        <v>28</v>
      </c>
      <c r="B43" s="909" t="s">
        <v>42</v>
      </c>
      <c r="C43" s="910"/>
      <c r="D43" s="910"/>
      <c r="E43" s="943"/>
      <c r="F43" s="294">
        <v>0.2</v>
      </c>
      <c r="G43" s="295">
        <f t="shared" ref="G43:G50" si="0">ROUND(G$34*F43,2)</f>
        <v>414.04</v>
      </c>
      <c r="H43" s="4"/>
    </row>
    <row r="44" spans="1:8" x14ac:dyDescent="0.2">
      <c r="A44" s="156" t="s">
        <v>29</v>
      </c>
      <c r="B44" s="802" t="s">
        <v>43</v>
      </c>
      <c r="C44" s="803"/>
      <c r="D44" s="803"/>
      <c r="E44" s="816"/>
      <c r="F44" s="281">
        <v>2.5000000000000001E-2</v>
      </c>
      <c r="G44" s="95">
        <f t="shared" si="0"/>
        <v>51.75</v>
      </c>
      <c r="H44" s="4"/>
    </row>
    <row r="45" spans="1:8" x14ac:dyDescent="0.2">
      <c r="A45" s="156" t="s">
        <v>30</v>
      </c>
      <c r="B45" s="802" t="s">
        <v>44</v>
      </c>
      <c r="C45" s="803"/>
      <c r="D45" s="803"/>
      <c r="E45" s="816"/>
      <c r="F45" s="588">
        <v>0</v>
      </c>
      <c r="G45" s="95">
        <f t="shared" si="0"/>
        <v>0</v>
      </c>
      <c r="H45" s="4"/>
    </row>
    <row r="46" spans="1:8" x14ac:dyDescent="0.2">
      <c r="A46" s="156" t="s">
        <v>31</v>
      </c>
      <c r="B46" s="802" t="s">
        <v>45</v>
      </c>
      <c r="C46" s="803"/>
      <c r="D46" s="803"/>
      <c r="E46" s="816"/>
      <c r="F46" s="281">
        <v>1.4999999999999999E-2</v>
      </c>
      <c r="G46" s="95">
        <f t="shared" si="0"/>
        <v>31.05</v>
      </c>
      <c r="H46" s="4"/>
    </row>
    <row r="47" spans="1:8" x14ac:dyDescent="0.2">
      <c r="A47" s="156" t="s">
        <v>32</v>
      </c>
      <c r="B47" s="802" t="s">
        <v>46</v>
      </c>
      <c r="C47" s="803"/>
      <c r="D47" s="803"/>
      <c r="E47" s="816"/>
      <c r="F47" s="281">
        <v>0.01</v>
      </c>
      <c r="G47" s="95">
        <f t="shared" si="0"/>
        <v>20.7</v>
      </c>
      <c r="H47" s="4"/>
    </row>
    <row r="48" spans="1:8" x14ac:dyDescent="0.2">
      <c r="A48" s="156" t="s">
        <v>34</v>
      </c>
      <c r="B48" s="802" t="s">
        <v>47</v>
      </c>
      <c r="C48" s="803"/>
      <c r="D48" s="803"/>
      <c r="E48" s="816"/>
      <c r="F48" s="281">
        <v>6.0000000000000001E-3</v>
      </c>
      <c r="G48" s="95">
        <f t="shared" si="0"/>
        <v>12.42</v>
      </c>
      <c r="H48" s="4"/>
    </row>
    <row r="49" spans="1:8" x14ac:dyDescent="0.2">
      <c r="A49" s="156" t="s">
        <v>48</v>
      </c>
      <c r="B49" s="802" t="s">
        <v>49</v>
      </c>
      <c r="C49" s="803"/>
      <c r="D49" s="803"/>
      <c r="E49" s="816"/>
      <c r="F49" s="281">
        <v>2E-3</v>
      </c>
      <c r="G49" s="95">
        <f t="shared" si="0"/>
        <v>4.1399999999999997</v>
      </c>
      <c r="H49" s="4"/>
    </row>
    <row r="50" spans="1:8" x14ac:dyDescent="0.2">
      <c r="A50" s="96" t="s">
        <v>50</v>
      </c>
      <c r="B50" s="928" t="s">
        <v>51</v>
      </c>
      <c r="C50" s="929"/>
      <c r="D50" s="929"/>
      <c r="E50" s="941"/>
      <c r="F50" s="282">
        <v>0.08</v>
      </c>
      <c r="G50" s="283">
        <f t="shared" si="0"/>
        <v>165.61</v>
      </c>
      <c r="H50" s="4"/>
    </row>
    <row r="51" spans="1:8" x14ac:dyDescent="0.2">
      <c r="A51" s="897" t="s">
        <v>52</v>
      </c>
      <c r="B51" s="898"/>
      <c r="C51" s="898"/>
      <c r="D51" s="898"/>
      <c r="E51" s="899"/>
      <c r="F51" s="291">
        <f>SUM(F43:F50)</f>
        <v>0.33800000000000002</v>
      </c>
      <c r="G51" s="292">
        <f>SUM(G43:G50)</f>
        <v>699.71</v>
      </c>
      <c r="H51" s="4">
        <f>ROUND(G34*F51,2)</f>
        <v>699.72</v>
      </c>
    </row>
    <row r="52" spans="1:8" x14ac:dyDescent="0.2">
      <c r="A52" s="906" t="s">
        <v>53</v>
      </c>
      <c r="B52" s="907"/>
      <c r="C52" s="907"/>
      <c r="D52" s="907"/>
      <c r="E52" s="907"/>
      <c r="F52" s="907"/>
      <c r="G52" s="908"/>
      <c r="H52" s="4"/>
    </row>
    <row r="53" spans="1:8" x14ac:dyDescent="0.2">
      <c r="A53" s="296" t="s">
        <v>28</v>
      </c>
      <c r="B53" s="939" t="s">
        <v>54</v>
      </c>
      <c r="C53" s="940"/>
      <c r="D53" s="940"/>
      <c r="E53" s="604">
        <v>0</v>
      </c>
      <c r="F53" s="297">
        <v>52</v>
      </c>
      <c r="G53" s="298">
        <f>IF(ROUND((E53*F53)-(G27*0.06),2)&lt;0,0,ROUND((E53*F53)-(G27*0.06),2))</f>
        <v>0</v>
      </c>
      <c r="H53" s="4"/>
    </row>
    <row r="54" spans="1:8" x14ac:dyDescent="0.2">
      <c r="A54" s="299" t="s">
        <v>29</v>
      </c>
      <c r="B54" s="808" t="s">
        <v>56</v>
      </c>
      <c r="C54" s="809"/>
      <c r="D54" s="809"/>
      <c r="E54" s="300">
        <f>20.76-1.39</f>
        <v>19.37</v>
      </c>
      <c r="F54" s="301">
        <v>26</v>
      </c>
      <c r="G54" s="277">
        <f t="shared" ref="G54:G62" si="1">ROUND((E54*F54),2)</f>
        <v>503.62</v>
      </c>
      <c r="H54" s="4"/>
    </row>
    <row r="55" spans="1:8" x14ac:dyDescent="0.2">
      <c r="A55" s="299" t="s">
        <v>30</v>
      </c>
      <c r="B55" s="808" t="s">
        <v>58</v>
      </c>
      <c r="C55" s="809"/>
      <c r="D55" s="809"/>
      <c r="E55" s="300">
        <v>144.68</v>
      </c>
      <c r="F55" s="301">
        <v>1</v>
      </c>
      <c r="G55" s="277">
        <f t="shared" si="1"/>
        <v>144.68</v>
      </c>
      <c r="H55" s="4"/>
    </row>
    <row r="56" spans="1:8" x14ac:dyDescent="0.2">
      <c r="A56" s="299" t="s">
        <v>31</v>
      </c>
      <c r="B56" s="808" t="s">
        <v>149</v>
      </c>
      <c r="C56" s="809"/>
      <c r="D56" s="809"/>
      <c r="E56" s="300">
        <v>35.33</v>
      </c>
      <c r="F56" s="301">
        <v>1</v>
      </c>
      <c r="G56" s="277">
        <f t="shared" si="1"/>
        <v>35.33</v>
      </c>
      <c r="H56" s="4"/>
    </row>
    <row r="57" spans="1:8" x14ac:dyDescent="0.2">
      <c r="A57" s="299" t="s">
        <v>32</v>
      </c>
      <c r="B57" s="808" t="s">
        <v>179</v>
      </c>
      <c r="C57" s="809"/>
      <c r="D57" s="809"/>
      <c r="E57" s="605">
        <f>ROUND((F18*30%)*5%,2)*0</f>
        <v>0</v>
      </c>
      <c r="F57" s="301">
        <v>1</v>
      </c>
      <c r="G57" s="277">
        <f t="shared" si="1"/>
        <v>0</v>
      </c>
      <c r="H57" s="4"/>
    </row>
    <row r="58" spans="1:8" x14ac:dyDescent="0.2">
      <c r="A58" s="299" t="s">
        <v>34</v>
      </c>
      <c r="B58" s="808" t="s">
        <v>150</v>
      </c>
      <c r="C58" s="809"/>
      <c r="D58" s="809"/>
      <c r="E58" s="300">
        <f>20.76</f>
        <v>20.76</v>
      </c>
      <c r="F58" s="301">
        <v>1</v>
      </c>
      <c r="G58" s="277">
        <f t="shared" si="1"/>
        <v>20.76</v>
      </c>
      <c r="H58" s="4"/>
    </row>
    <row r="59" spans="1:8" x14ac:dyDescent="0.2">
      <c r="A59" s="299" t="s">
        <v>48</v>
      </c>
      <c r="B59" s="808" t="s">
        <v>180</v>
      </c>
      <c r="C59" s="809"/>
      <c r="D59" s="809"/>
      <c r="E59" s="342">
        <f>15.96</f>
        <v>15.96</v>
      </c>
      <c r="F59" s="301">
        <v>1</v>
      </c>
      <c r="G59" s="277">
        <f>ROUND((E59*F59),2)</f>
        <v>15.96</v>
      </c>
      <c r="H59" s="4"/>
    </row>
    <row r="60" spans="1:8" x14ac:dyDescent="0.2">
      <c r="A60" s="299" t="s">
        <v>50</v>
      </c>
      <c r="B60" s="935" t="s">
        <v>253</v>
      </c>
      <c r="C60" s="813"/>
      <c r="D60" s="813"/>
      <c r="E60" s="343">
        <v>300</v>
      </c>
      <c r="F60" s="301">
        <v>1</v>
      </c>
      <c r="G60" s="277">
        <f t="shared" si="1"/>
        <v>300</v>
      </c>
      <c r="H60" s="4"/>
    </row>
    <row r="61" spans="1:8" x14ac:dyDescent="0.2">
      <c r="A61" s="377" t="s">
        <v>151</v>
      </c>
      <c r="B61" s="935" t="s">
        <v>152</v>
      </c>
      <c r="C61" s="813"/>
      <c r="D61" s="813"/>
      <c r="E61" s="343">
        <v>0</v>
      </c>
      <c r="F61" s="301">
        <v>1</v>
      </c>
      <c r="G61" s="277">
        <f t="shared" si="1"/>
        <v>0</v>
      </c>
      <c r="H61" s="4"/>
    </row>
    <row r="62" spans="1:8" x14ac:dyDescent="0.2">
      <c r="A62" s="299" t="s">
        <v>431</v>
      </c>
      <c r="B62" s="936" t="s">
        <v>152</v>
      </c>
      <c r="C62" s="937"/>
      <c r="D62" s="937"/>
      <c r="E62" s="302">
        <v>0</v>
      </c>
      <c r="F62" s="301">
        <v>1</v>
      </c>
      <c r="G62" s="277">
        <f t="shared" si="1"/>
        <v>0</v>
      </c>
      <c r="H62" s="4"/>
    </row>
    <row r="63" spans="1:8" x14ac:dyDescent="0.2">
      <c r="A63" s="938" t="s">
        <v>60</v>
      </c>
      <c r="B63" s="883"/>
      <c r="C63" s="883"/>
      <c r="D63" s="883"/>
      <c r="E63" s="883"/>
      <c r="F63" s="884"/>
      <c r="G63" s="280">
        <f>SUM(G53:G62)+52.42</f>
        <v>1072.77</v>
      </c>
      <c r="H63" s="4"/>
    </row>
    <row r="64" spans="1:8" x14ac:dyDescent="0.2">
      <c r="A64" s="890" t="s">
        <v>61</v>
      </c>
      <c r="B64" s="891"/>
      <c r="C64" s="891"/>
      <c r="D64" s="891"/>
      <c r="E64" s="891"/>
      <c r="F64" s="892"/>
      <c r="G64" s="893"/>
      <c r="H64" s="4"/>
    </row>
    <row r="65" spans="1:8" x14ac:dyDescent="0.2">
      <c r="A65" s="303" t="s">
        <v>62</v>
      </c>
      <c r="B65" s="894" t="s">
        <v>63</v>
      </c>
      <c r="C65" s="895"/>
      <c r="D65" s="895"/>
      <c r="E65" s="895"/>
      <c r="F65" s="304">
        <f>F41</f>
        <v>0.27339999999999998</v>
      </c>
      <c r="G65" s="305">
        <f>G41</f>
        <v>565.99</v>
      </c>
      <c r="H65" s="4"/>
    </row>
    <row r="66" spans="1:8" x14ac:dyDescent="0.2">
      <c r="A66" s="306" t="s">
        <v>64</v>
      </c>
      <c r="B66" s="877" t="s">
        <v>128</v>
      </c>
      <c r="C66" s="750"/>
      <c r="D66" s="750"/>
      <c r="E66" s="750"/>
      <c r="F66" s="18">
        <f>F51</f>
        <v>0.33800000000000002</v>
      </c>
      <c r="G66" s="307">
        <f>G51</f>
        <v>699.71</v>
      </c>
      <c r="H66" s="4"/>
    </row>
    <row r="67" spans="1:8" x14ac:dyDescent="0.2">
      <c r="A67" s="306" t="s">
        <v>65</v>
      </c>
      <c r="B67" s="877" t="s">
        <v>66</v>
      </c>
      <c r="C67" s="750"/>
      <c r="D67" s="750"/>
      <c r="E67" s="750"/>
      <c r="F67" s="751"/>
      <c r="G67" s="307">
        <f>G63</f>
        <v>1072.77</v>
      </c>
      <c r="H67" s="4"/>
    </row>
    <row r="68" spans="1:8" x14ac:dyDescent="0.2">
      <c r="A68" s="882" t="s">
        <v>67</v>
      </c>
      <c r="B68" s="883"/>
      <c r="C68" s="883"/>
      <c r="D68" s="883"/>
      <c r="E68" s="883"/>
      <c r="F68" s="884"/>
      <c r="G68" s="280">
        <f>SUM(G65:G67)</f>
        <v>2338.4699999999998</v>
      </c>
      <c r="H68" s="4"/>
    </row>
    <row r="69" spans="1:8" x14ac:dyDescent="0.2">
      <c r="A69" s="890" t="s">
        <v>68</v>
      </c>
      <c r="B69" s="891"/>
      <c r="C69" s="891"/>
      <c r="D69" s="891"/>
      <c r="E69" s="891"/>
      <c r="F69" s="892"/>
      <c r="G69" s="893"/>
      <c r="H69" s="4"/>
    </row>
    <row r="70" spans="1:8" s="21" customFormat="1" x14ac:dyDescent="0.2">
      <c r="A70" s="272">
        <v>3</v>
      </c>
      <c r="B70" s="308" t="s">
        <v>69</v>
      </c>
      <c r="C70" s="308"/>
      <c r="D70" s="308"/>
      <c r="E70" s="308"/>
      <c r="F70" s="308"/>
      <c r="G70" s="309"/>
      <c r="H70" s="4"/>
    </row>
    <row r="71" spans="1:8" x14ac:dyDescent="0.2">
      <c r="A71" s="310" t="s">
        <v>28</v>
      </c>
      <c r="B71" s="788" t="s">
        <v>70</v>
      </c>
      <c r="C71" s="789"/>
      <c r="D71" s="789"/>
      <c r="E71" s="789"/>
      <c r="F71" s="590">
        <f>ROUND((1/12)*0.05,4)*0</f>
        <v>0</v>
      </c>
      <c r="G71" s="311">
        <f t="shared" ref="G71:G76" si="2">ROUND(G$34*F71,2)</f>
        <v>0</v>
      </c>
      <c r="H71" s="4"/>
    </row>
    <row r="72" spans="1:8" x14ac:dyDescent="0.2">
      <c r="A72" s="312" t="s">
        <v>29</v>
      </c>
      <c r="B72" s="741" t="s">
        <v>71</v>
      </c>
      <c r="C72" s="742"/>
      <c r="D72" s="742"/>
      <c r="E72" s="742"/>
      <c r="F72" s="316">
        <f>ROUND((F71*F50),4)</f>
        <v>0</v>
      </c>
      <c r="G72" s="313">
        <f t="shared" si="2"/>
        <v>0</v>
      </c>
      <c r="H72" s="4"/>
    </row>
    <row r="73" spans="1:8" x14ac:dyDescent="0.2">
      <c r="A73" s="312" t="s">
        <v>30</v>
      </c>
      <c r="B73" s="741" t="s">
        <v>404</v>
      </c>
      <c r="C73" s="742"/>
      <c r="D73" s="742"/>
      <c r="E73" s="742"/>
      <c r="F73" s="592">
        <f>ROUND((0.08*0.4*0.9)*(1+0.09+0.09+0.3),2)*0</f>
        <v>0</v>
      </c>
      <c r="G73" s="313">
        <f t="shared" si="2"/>
        <v>0</v>
      </c>
      <c r="H73" s="4"/>
    </row>
    <row r="74" spans="1:8" x14ac:dyDescent="0.2">
      <c r="A74" s="312" t="s">
        <v>31</v>
      </c>
      <c r="B74" s="741" t="s">
        <v>72</v>
      </c>
      <c r="C74" s="742"/>
      <c r="D74" s="742"/>
      <c r="E74" s="742"/>
      <c r="F74" s="592">
        <f>ROUND(100%/30*7/12*100%,4)*0</f>
        <v>0</v>
      </c>
      <c r="G74" s="313">
        <f t="shared" si="2"/>
        <v>0</v>
      </c>
      <c r="H74" s="4"/>
    </row>
    <row r="75" spans="1:8" s="3" customFormat="1" x14ac:dyDescent="0.2">
      <c r="A75" s="312" t="s">
        <v>32</v>
      </c>
      <c r="B75" s="741" t="s">
        <v>119</v>
      </c>
      <c r="C75" s="742"/>
      <c r="D75" s="742"/>
      <c r="E75" s="742"/>
      <c r="F75" s="316">
        <f>ROUND(F74*F51,4)</f>
        <v>0</v>
      </c>
      <c r="G75" s="313">
        <f t="shared" si="2"/>
        <v>0</v>
      </c>
      <c r="H75" s="4"/>
    </row>
    <row r="76" spans="1:8" x14ac:dyDescent="0.2">
      <c r="A76" s="312" t="s">
        <v>34</v>
      </c>
      <c r="B76" s="791" t="s">
        <v>135</v>
      </c>
      <c r="C76" s="792"/>
      <c r="D76" s="792"/>
      <c r="E76" s="792"/>
      <c r="F76" s="344">
        <v>0</v>
      </c>
      <c r="G76" s="314">
        <f t="shared" si="2"/>
        <v>0</v>
      </c>
      <c r="H76" s="4"/>
    </row>
    <row r="77" spans="1:8" x14ac:dyDescent="0.2">
      <c r="A77" s="882" t="s">
        <v>73</v>
      </c>
      <c r="B77" s="883"/>
      <c r="C77" s="883"/>
      <c r="D77" s="883"/>
      <c r="E77" s="883"/>
      <c r="F77" s="324">
        <f>SUM(F71:F76)</f>
        <v>0</v>
      </c>
      <c r="G77" s="315">
        <f>SUM(G71:G76)</f>
        <v>0</v>
      </c>
      <c r="H77" s="4">
        <f>ROUND(G34*F77,2)</f>
        <v>0</v>
      </c>
    </row>
    <row r="78" spans="1:8" x14ac:dyDescent="0.2">
      <c r="A78" s="890" t="s">
        <v>74</v>
      </c>
      <c r="B78" s="891"/>
      <c r="C78" s="891"/>
      <c r="D78" s="891"/>
      <c r="E78" s="891"/>
      <c r="F78" s="892"/>
      <c r="G78" s="893"/>
      <c r="H78" s="4"/>
    </row>
    <row r="79" spans="1:8" s="21" customFormat="1" x14ac:dyDescent="0.2">
      <c r="A79" s="906" t="s">
        <v>120</v>
      </c>
      <c r="B79" s="907"/>
      <c r="C79" s="907"/>
      <c r="D79" s="907"/>
      <c r="E79" s="907"/>
      <c r="F79" s="907"/>
      <c r="G79" s="908"/>
      <c r="H79" s="4"/>
    </row>
    <row r="80" spans="1:8" x14ac:dyDescent="0.2">
      <c r="A80" s="293" t="s">
        <v>28</v>
      </c>
      <c r="B80" s="933" t="s">
        <v>408</v>
      </c>
      <c r="C80" s="934"/>
      <c r="D80" s="934"/>
      <c r="E80" s="934"/>
      <c r="F80" s="294">
        <v>0</v>
      </c>
      <c r="G80" s="311">
        <f t="shared" ref="G80:G85" si="3">ROUND(G$34*F80,2)</f>
        <v>0</v>
      </c>
      <c r="H80" s="4"/>
    </row>
    <row r="81" spans="1:8" x14ac:dyDescent="0.2">
      <c r="A81" s="156" t="s">
        <v>29</v>
      </c>
      <c r="B81" s="802" t="s">
        <v>121</v>
      </c>
      <c r="C81" s="803"/>
      <c r="D81" s="803"/>
      <c r="E81" s="803"/>
      <c r="F81" s="594">
        <f>ROUND(((1/30)/12)*1,4)*0</f>
        <v>0</v>
      </c>
      <c r="G81" s="313">
        <f t="shared" si="3"/>
        <v>0</v>
      </c>
      <c r="H81" s="4"/>
    </row>
    <row r="82" spans="1:8" x14ac:dyDescent="0.2">
      <c r="A82" s="156" t="s">
        <v>30</v>
      </c>
      <c r="B82" s="802" t="s">
        <v>122</v>
      </c>
      <c r="C82" s="803"/>
      <c r="D82" s="803"/>
      <c r="E82" s="803"/>
      <c r="F82" s="594">
        <f>ROUND((((1/30)/12)*5)*0.02,4)*0</f>
        <v>0</v>
      </c>
      <c r="G82" s="313">
        <f t="shared" si="3"/>
        <v>0</v>
      </c>
      <c r="H82" s="4"/>
    </row>
    <row r="83" spans="1:8" x14ac:dyDescent="0.2">
      <c r="A83" s="156" t="s">
        <v>31</v>
      </c>
      <c r="B83" s="802" t="s">
        <v>123</v>
      </c>
      <c r="C83" s="803"/>
      <c r="D83" s="803"/>
      <c r="E83" s="803"/>
      <c r="F83" s="594">
        <f>ROUND((((1/30)/12)*15)*0.05,4)*0</f>
        <v>0</v>
      </c>
      <c r="G83" s="313">
        <f t="shared" si="3"/>
        <v>0</v>
      </c>
      <c r="H83" s="4"/>
    </row>
    <row r="84" spans="1:8" x14ac:dyDescent="0.2">
      <c r="A84" s="156" t="s">
        <v>32</v>
      </c>
      <c r="B84" s="926" t="s">
        <v>409</v>
      </c>
      <c r="C84" s="927"/>
      <c r="D84" s="927"/>
      <c r="E84" s="927"/>
      <c r="F84" s="281">
        <v>0</v>
      </c>
      <c r="G84" s="313">
        <f t="shared" si="3"/>
        <v>0</v>
      </c>
      <c r="H84" s="4"/>
    </row>
    <row r="85" spans="1:8" x14ac:dyDescent="0.2">
      <c r="A85" s="156" t="s">
        <v>34</v>
      </c>
      <c r="B85" s="928" t="s">
        <v>124</v>
      </c>
      <c r="C85" s="929"/>
      <c r="D85" s="929"/>
      <c r="E85" s="929"/>
      <c r="F85" s="596">
        <f>ROUND((((1/30)/12)*5)*0.5,4)*0</f>
        <v>0</v>
      </c>
      <c r="G85" s="314">
        <f t="shared" si="3"/>
        <v>0</v>
      </c>
      <c r="H85" s="4"/>
    </row>
    <row r="86" spans="1:8" x14ac:dyDescent="0.2">
      <c r="A86" s="911" t="s">
        <v>75</v>
      </c>
      <c r="B86" s="899"/>
      <c r="C86" s="899"/>
      <c r="D86" s="899"/>
      <c r="E86" s="899"/>
      <c r="F86" s="291">
        <f>SUM(F80:F85)</f>
        <v>0</v>
      </c>
      <c r="G86" s="292">
        <f>SUM(G80:G85)</f>
        <v>0</v>
      </c>
      <c r="H86" s="4">
        <f>ROUND(G34*F86,2)</f>
        <v>0</v>
      </c>
    </row>
    <row r="87" spans="1:8" s="21" customFormat="1" x14ac:dyDescent="0.2">
      <c r="A87" s="930" t="s">
        <v>76</v>
      </c>
      <c r="B87" s="931"/>
      <c r="C87" s="931"/>
      <c r="D87" s="931"/>
      <c r="E87" s="931"/>
      <c r="F87" s="931"/>
      <c r="G87" s="932"/>
      <c r="H87" s="4"/>
    </row>
    <row r="88" spans="1:8" x14ac:dyDescent="0.2">
      <c r="A88" s="310" t="s">
        <v>28</v>
      </c>
      <c r="B88" s="788" t="s">
        <v>77</v>
      </c>
      <c r="C88" s="789"/>
      <c r="D88" s="789"/>
      <c r="E88" s="789"/>
      <c r="F88" s="590">
        <f xml:space="preserve"> ROUND((((ROUND((1/11)+(1/11)/3, 3))*4)/12)*1%,4)*0</f>
        <v>0</v>
      </c>
      <c r="G88" s="311">
        <f>ROUND(G$34*F88,2)</f>
        <v>0</v>
      </c>
      <c r="H88" s="4"/>
    </row>
    <row r="89" spans="1:8" x14ac:dyDescent="0.2">
      <c r="A89" s="312" t="s">
        <v>29</v>
      </c>
      <c r="B89" s="741" t="s">
        <v>78</v>
      </c>
      <c r="C89" s="742"/>
      <c r="D89" s="742"/>
      <c r="E89" s="742"/>
      <c r="F89" s="316">
        <f>ROUND(F88*F51,4)</f>
        <v>0</v>
      </c>
      <c r="G89" s="313">
        <f>ROUND(G$34*F89,2)</f>
        <v>0</v>
      </c>
      <c r="H89" s="4"/>
    </row>
    <row r="90" spans="1:8" x14ac:dyDescent="0.2">
      <c r="A90" s="312" t="s">
        <v>30</v>
      </c>
      <c r="B90" s="741" t="s">
        <v>79</v>
      </c>
      <c r="C90" s="742"/>
      <c r="D90" s="742"/>
      <c r="E90" s="742"/>
      <c r="F90" s="592">
        <f>ROUND(ROUND(ROUND(((1+1/12)*4)/12,4)*1%,4)*F51,4)*0</f>
        <v>0</v>
      </c>
      <c r="G90" s="313">
        <f>ROUND(G$34*F90,2)</f>
        <v>0</v>
      </c>
      <c r="H90" s="4"/>
    </row>
    <row r="91" spans="1:8" x14ac:dyDescent="0.2">
      <c r="A91" s="312" t="s">
        <v>31</v>
      </c>
      <c r="B91" s="741" t="s">
        <v>59</v>
      </c>
      <c r="C91" s="742"/>
      <c r="D91" s="742"/>
      <c r="E91" s="742"/>
      <c r="F91" s="316">
        <v>0</v>
      </c>
      <c r="G91" s="314">
        <f>ROUND(G$34*F91,2)</f>
        <v>0</v>
      </c>
      <c r="H91" s="4"/>
    </row>
    <row r="92" spans="1:8" x14ac:dyDescent="0.2">
      <c r="A92" s="912" t="s">
        <v>80</v>
      </c>
      <c r="B92" s="884"/>
      <c r="C92" s="884"/>
      <c r="D92" s="884"/>
      <c r="E92" s="884"/>
      <c r="F92" s="317">
        <f>SUM(F88:F91)</f>
        <v>0</v>
      </c>
      <c r="G92" s="318">
        <f>SUM(G88:G91)</f>
        <v>0</v>
      </c>
      <c r="H92" s="4">
        <f>ROUND(G34*F92,2)</f>
        <v>0</v>
      </c>
    </row>
    <row r="93" spans="1:8" s="21" customFormat="1" x14ac:dyDescent="0.2">
      <c r="A93" s="913" t="s">
        <v>81</v>
      </c>
      <c r="B93" s="914"/>
      <c r="C93" s="914"/>
      <c r="D93" s="914"/>
      <c r="E93" s="914"/>
      <c r="F93" s="914"/>
      <c r="G93" s="915"/>
      <c r="H93" s="4"/>
    </row>
    <row r="94" spans="1:8" x14ac:dyDescent="0.2">
      <c r="A94" s="567" t="s">
        <v>28</v>
      </c>
      <c r="B94" s="916" t="s">
        <v>82</v>
      </c>
      <c r="C94" s="917"/>
      <c r="D94" s="917"/>
      <c r="E94" s="917"/>
      <c r="F94" s="568">
        <f>((1/220)*22)*0</f>
        <v>0</v>
      </c>
      <c r="G94" s="569">
        <f>ROUND(G$34*F94,2)</f>
        <v>0</v>
      </c>
      <c r="H94" s="4"/>
    </row>
    <row r="95" spans="1:8" x14ac:dyDescent="0.2">
      <c r="A95" s="567" t="s">
        <v>29</v>
      </c>
      <c r="B95" s="923" t="s">
        <v>191</v>
      </c>
      <c r="C95" s="924"/>
      <c r="D95" s="924"/>
      <c r="E95" s="925"/>
      <c r="F95" s="570">
        <f>F94*F51</f>
        <v>0</v>
      </c>
      <c r="G95" s="569">
        <f>ROUND(G$34*F95,2)</f>
        <v>0</v>
      </c>
      <c r="H95" s="4"/>
    </row>
    <row r="96" spans="1:8" x14ac:dyDescent="0.2">
      <c r="A96" s="918" t="s">
        <v>83</v>
      </c>
      <c r="B96" s="919"/>
      <c r="C96" s="919"/>
      <c r="D96" s="919"/>
      <c r="E96" s="919"/>
      <c r="F96" s="571">
        <f>SUM(F94:F95)</f>
        <v>0</v>
      </c>
      <c r="G96" s="572">
        <f>SUM(G94:G94)</f>
        <v>0</v>
      </c>
      <c r="H96" s="4">
        <f>ROUND(G34*F96,2)</f>
        <v>0</v>
      </c>
    </row>
    <row r="97" spans="1:9" s="45" customFormat="1" x14ac:dyDescent="0.2">
      <c r="A97" s="906" t="s">
        <v>125</v>
      </c>
      <c r="B97" s="907"/>
      <c r="C97" s="907"/>
      <c r="D97" s="907"/>
      <c r="E97" s="907"/>
      <c r="F97" s="907"/>
      <c r="G97" s="908"/>
      <c r="H97" s="35"/>
    </row>
    <row r="98" spans="1:9" s="34" customFormat="1" x14ac:dyDescent="0.2">
      <c r="A98" s="293" t="s">
        <v>28</v>
      </c>
      <c r="B98" s="909" t="s">
        <v>126</v>
      </c>
      <c r="C98" s="910"/>
      <c r="D98" s="910"/>
      <c r="E98" s="910"/>
      <c r="F98" s="598">
        <f>((((8*13)/12)/220)+((((8*13)/12)/220)*100%))*0</f>
        <v>0</v>
      </c>
      <c r="G98" s="311">
        <f>ROUND(G$34*F98,2)</f>
        <v>0</v>
      </c>
      <c r="H98" s="35"/>
    </row>
    <row r="99" spans="1:9" s="34" customFormat="1" x14ac:dyDescent="0.2">
      <c r="A99" s="293" t="s">
        <v>29</v>
      </c>
      <c r="B99" s="920" t="s">
        <v>191</v>
      </c>
      <c r="C99" s="921"/>
      <c r="D99" s="921"/>
      <c r="E99" s="922"/>
      <c r="F99" s="345">
        <f>F98*F51</f>
        <v>0</v>
      </c>
      <c r="G99" s="311">
        <f>ROUND(G$34*F99,2)</f>
        <v>0</v>
      </c>
      <c r="H99" s="35"/>
    </row>
    <row r="100" spans="1:9" s="34" customFormat="1" x14ac:dyDescent="0.2">
      <c r="A100" s="911" t="s">
        <v>127</v>
      </c>
      <c r="B100" s="899"/>
      <c r="C100" s="899"/>
      <c r="D100" s="899"/>
      <c r="E100" s="899"/>
      <c r="F100" s="291">
        <f>SUM(F98:F99)</f>
        <v>0</v>
      </c>
      <c r="G100" s="292">
        <f>SUM(G98:G98)</f>
        <v>0</v>
      </c>
      <c r="H100" s="35">
        <f>ROUND(G44*F100,2)</f>
        <v>0</v>
      </c>
    </row>
    <row r="101" spans="1:9" x14ac:dyDescent="0.2">
      <c r="A101" s="890" t="s">
        <v>84</v>
      </c>
      <c r="B101" s="891"/>
      <c r="C101" s="891"/>
      <c r="D101" s="891"/>
      <c r="E101" s="891"/>
      <c r="F101" s="892"/>
      <c r="G101" s="893"/>
      <c r="H101" s="4"/>
    </row>
    <row r="102" spans="1:9" x14ac:dyDescent="0.2">
      <c r="A102" s="303" t="s">
        <v>85</v>
      </c>
      <c r="B102" s="894" t="s">
        <v>129</v>
      </c>
      <c r="C102" s="895"/>
      <c r="D102" s="895"/>
      <c r="E102" s="895"/>
      <c r="F102" s="304">
        <f>F86</f>
        <v>0</v>
      </c>
      <c r="G102" s="305">
        <f>G86</f>
        <v>0</v>
      </c>
      <c r="H102" s="4"/>
    </row>
    <row r="103" spans="1:9" x14ac:dyDescent="0.2">
      <c r="A103" s="306" t="s">
        <v>86</v>
      </c>
      <c r="B103" s="877" t="s">
        <v>87</v>
      </c>
      <c r="C103" s="750"/>
      <c r="D103" s="750"/>
      <c r="E103" s="750"/>
      <c r="F103" s="18">
        <f>F92</f>
        <v>0</v>
      </c>
      <c r="G103" s="307">
        <f>G92</f>
        <v>0</v>
      </c>
      <c r="H103" s="4"/>
    </row>
    <row r="104" spans="1:9" x14ac:dyDescent="0.2">
      <c r="A104" s="306" t="s">
        <v>88</v>
      </c>
      <c r="B104" s="877" t="s">
        <v>89</v>
      </c>
      <c r="C104" s="750"/>
      <c r="D104" s="750"/>
      <c r="E104" s="750"/>
      <c r="F104" s="18">
        <f>F96</f>
        <v>0</v>
      </c>
      <c r="G104" s="307">
        <f>G96</f>
        <v>0</v>
      </c>
      <c r="H104" s="4"/>
    </row>
    <row r="105" spans="1:9" x14ac:dyDescent="0.2">
      <c r="A105" s="306" t="s">
        <v>131</v>
      </c>
      <c r="B105" s="879" t="s">
        <v>405</v>
      </c>
      <c r="C105" s="880"/>
      <c r="D105" s="880"/>
      <c r="E105" s="880"/>
      <c r="F105" s="18">
        <f>F100</f>
        <v>0</v>
      </c>
      <c r="G105" s="307">
        <f>G100</f>
        <v>0</v>
      </c>
      <c r="H105" s="4"/>
    </row>
    <row r="106" spans="1:9" x14ac:dyDescent="0.2">
      <c r="A106" s="882" t="s">
        <v>90</v>
      </c>
      <c r="B106" s="883"/>
      <c r="C106" s="883"/>
      <c r="D106" s="883"/>
      <c r="E106" s="883"/>
      <c r="F106" s="884"/>
      <c r="G106" s="280">
        <f>SUM(G102:G105)</f>
        <v>0</v>
      </c>
      <c r="H106" s="4"/>
      <c r="I106" s="319">
        <f>SUM(F100,F96,F92,F86,F77,F65,F66)</f>
        <v>0.61140000000000005</v>
      </c>
    </row>
    <row r="107" spans="1:9" x14ac:dyDescent="0.2">
      <c r="A107" s="890" t="s">
        <v>91</v>
      </c>
      <c r="B107" s="891"/>
      <c r="C107" s="891"/>
      <c r="D107" s="891"/>
      <c r="E107" s="891"/>
      <c r="F107" s="892"/>
      <c r="G107" s="893"/>
      <c r="H107" s="4"/>
    </row>
    <row r="108" spans="1:9" x14ac:dyDescent="0.2">
      <c r="A108" s="310" t="s">
        <v>28</v>
      </c>
      <c r="B108" s="900" t="str">
        <f>'Uniformes e EPI''s'!A5</f>
        <v>UNIFORMES</v>
      </c>
      <c r="C108" s="901"/>
      <c r="D108" s="901"/>
      <c r="E108" s="346">
        <f>'Uniformes e EPI''s'!E17</f>
        <v>0</v>
      </c>
      <c r="F108" s="320">
        <v>1</v>
      </c>
      <c r="G108" s="277">
        <f>ROUND((E108*F108),2)</f>
        <v>0</v>
      </c>
      <c r="H108" s="4"/>
    </row>
    <row r="109" spans="1:9" s="34" customFormat="1" x14ac:dyDescent="0.2">
      <c r="A109" s="156" t="s">
        <v>29</v>
      </c>
      <c r="B109" s="902" t="str">
        <f>'Uniformes e EPI''s'!A19</f>
        <v>EPI's</v>
      </c>
      <c r="C109" s="903"/>
      <c r="D109" s="903"/>
      <c r="E109" s="343">
        <f>'Uniformes e EPI''s'!D39</f>
        <v>0</v>
      </c>
      <c r="F109" s="46">
        <v>1</v>
      </c>
      <c r="G109" s="277">
        <f t="shared" ref="G109:G115" si="4">ROUND((E109*F109),2)</f>
        <v>0</v>
      </c>
      <c r="H109" s="35"/>
    </row>
    <row r="110" spans="1:9" s="34" customFormat="1" x14ac:dyDescent="0.2">
      <c r="A110" s="156" t="s">
        <v>30</v>
      </c>
      <c r="B110" s="741" t="s">
        <v>59</v>
      </c>
      <c r="C110" s="742"/>
      <c r="D110" s="742"/>
      <c r="E110" s="343">
        <v>0</v>
      </c>
      <c r="F110" s="47">
        <v>1</v>
      </c>
      <c r="G110" s="277">
        <f t="shared" si="4"/>
        <v>0</v>
      </c>
      <c r="H110" s="35"/>
    </row>
    <row r="111" spans="1:9" s="34" customFormat="1" x14ac:dyDescent="0.2">
      <c r="A111" s="156" t="s">
        <v>31</v>
      </c>
      <c r="B111" s="741" t="s">
        <v>59</v>
      </c>
      <c r="C111" s="742"/>
      <c r="D111" s="742"/>
      <c r="E111" s="343">
        <v>0</v>
      </c>
      <c r="F111" s="47">
        <v>1</v>
      </c>
      <c r="G111" s="277">
        <f t="shared" si="4"/>
        <v>0</v>
      </c>
      <c r="H111" s="35"/>
    </row>
    <row r="112" spans="1:9" s="34" customFormat="1" x14ac:dyDescent="0.2">
      <c r="A112" s="156" t="s">
        <v>32</v>
      </c>
      <c r="B112" s="741" t="s">
        <v>59</v>
      </c>
      <c r="C112" s="742"/>
      <c r="D112" s="742"/>
      <c r="E112" s="343">
        <v>0</v>
      </c>
      <c r="F112" s="47">
        <v>1</v>
      </c>
      <c r="G112" s="277">
        <f t="shared" si="4"/>
        <v>0</v>
      </c>
      <c r="H112" s="35"/>
    </row>
    <row r="113" spans="1:8" s="34" customFormat="1" x14ac:dyDescent="0.2">
      <c r="A113" s="156" t="s">
        <v>34</v>
      </c>
      <c r="B113" s="741" t="s">
        <v>59</v>
      </c>
      <c r="C113" s="742"/>
      <c r="D113" s="742"/>
      <c r="E113" s="343">
        <v>0</v>
      </c>
      <c r="F113" s="47">
        <v>1</v>
      </c>
      <c r="G113" s="277">
        <f>ROUND((E113*F113)/12,2)</f>
        <v>0</v>
      </c>
      <c r="H113" s="35"/>
    </row>
    <row r="114" spans="1:8" s="34" customFormat="1" x14ac:dyDescent="0.2">
      <c r="A114" s="156" t="s">
        <v>48</v>
      </c>
      <c r="B114" s="741" t="s">
        <v>59</v>
      </c>
      <c r="C114" s="742"/>
      <c r="D114" s="742"/>
      <c r="E114" s="343">
        <v>0</v>
      </c>
      <c r="F114" s="47">
        <v>1</v>
      </c>
      <c r="G114" s="277">
        <f t="shared" si="4"/>
        <v>0</v>
      </c>
      <c r="H114" s="35"/>
    </row>
    <row r="115" spans="1:8" s="34" customFormat="1" x14ac:dyDescent="0.2">
      <c r="A115" s="156" t="s">
        <v>50</v>
      </c>
      <c r="B115" s="904" t="s">
        <v>59</v>
      </c>
      <c r="C115" s="905"/>
      <c r="D115" s="905"/>
      <c r="E115" s="343">
        <v>0</v>
      </c>
      <c r="F115" s="47">
        <v>1</v>
      </c>
      <c r="G115" s="277">
        <f t="shared" si="4"/>
        <v>0</v>
      </c>
      <c r="H115" s="35"/>
    </row>
    <row r="116" spans="1:8" s="34" customFormat="1" x14ac:dyDescent="0.2">
      <c r="A116" s="897" t="s">
        <v>92</v>
      </c>
      <c r="B116" s="898"/>
      <c r="C116" s="898"/>
      <c r="D116" s="898"/>
      <c r="E116" s="898"/>
      <c r="F116" s="899"/>
      <c r="G116" s="280">
        <f>SUM(G108:G115)</f>
        <v>0</v>
      </c>
      <c r="H116" s="35"/>
    </row>
    <row r="117" spans="1:8" x14ac:dyDescent="0.2">
      <c r="A117" s="890" t="s">
        <v>93</v>
      </c>
      <c r="B117" s="891"/>
      <c r="C117" s="891"/>
      <c r="D117" s="891"/>
      <c r="E117" s="891"/>
      <c r="F117" s="892"/>
      <c r="G117" s="893"/>
      <c r="H117" s="4"/>
    </row>
    <row r="118" spans="1:8" s="21" customFormat="1" x14ac:dyDescent="0.2">
      <c r="A118" s="272">
        <v>3</v>
      </c>
      <c r="B118" s="308" t="s">
        <v>94</v>
      </c>
      <c r="C118" s="308"/>
      <c r="D118" s="308"/>
      <c r="E118" s="308"/>
      <c r="F118" s="308"/>
      <c r="G118" s="309"/>
      <c r="H118" s="4"/>
    </row>
    <row r="119" spans="1:8" x14ac:dyDescent="0.2">
      <c r="A119" s="310" t="s">
        <v>28</v>
      </c>
      <c r="B119" s="788" t="s">
        <v>95</v>
      </c>
      <c r="C119" s="789"/>
      <c r="D119" s="789"/>
      <c r="E119" s="789"/>
      <c r="F119" s="601">
        <v>0</v>
      </c>
      <c r="G119" s="295">
        <f>ROUND(G135*F119,2)</f>
        <v>0</v>
      </c>
      <c r="H119" s="4"/>
    </row>
    <row r="120" spans="1:8" x14ac:dyDescent="0.2">
      <c r="A120" s="312" t="s">
        <v>29</v>
      </c>
      <c r="B120" s="741" t="s">
        <v>96</v>
      </c>
      <c r="C120" s="742"/>
      <c r="D120" s="742"/>
      <c r="E120" s="742"/>
      <c r="F120" s="602">
        <v>0</v>
      </c>
      <c r="G120" s="95">
        <f>ROUND(((G135+G119)*F120),2)</f>
        <v>0</v>
      </c>
      <c r="H120" s="4"/>
    </row>
    <row r="121" spans="1:8" x14ac:dyDescent="0.2">
      <c r="A121" s="312" t="s">
        <v>30</v>
      </c>
      <c r="B121" s="766" t="s">
        <v>97</v>
      </c>
      <c r="C121" s="767"/>
      <c r="D121" s="767"/>
      <c r="E121" s="767"/>
      <c r="F121" s="316"/>
      <c r="G121" s="95"/>
      <c r="H121" s="4"/>
    </row>
    <row r="122" spans="1:8" x14ac:dyDescent="0.2">
      <c r="A122" s="312" t="s">
        <v>98</v>
      </c>
      <c r="B122" s="741" t="s">
        <v>99</v>
      </c>
      <c r="C122" s="742"/>
      <c r="D122" s="742"/>
      <c r="E122" s="742"/>
      <c r="F122" s="602">
        <v>0</v>
      </c>
      <c r="G122" s="95">
        <f ca="1">ROUND(G$139*F122,2)</f>
        <v>0</v>
      </c>
      <c r="H122" s="4"/>
    </row>
    <row r="123" spans="1:8" s="3" customFormat="1" x14ac:dyDescent="0.2">
      <c r="A123" s="312" t="s">
        <v>100</v>
      </c>
      <c r="B123" s="741" t="s">
        <v>101</v>
      </c>
      <c r="C123" s="742"/>
      <c r="D123" s="742"/>
      <c r="E123" s="742"/>
      <c r="F123" s="602">
        <v>0</v>
      </c>
      <c r="G123" s="95">
        <f ca="1">ROUND(G$139*F123,2)</f>
        <v>0</v>
      </c>
      <c r="H123" s="4"/>
    </row>
    <row r="124" spans="1:8" x14ac:dyDescent="0.2">
      <c r="A124" s="312" t="s">
        <v>102</v>
      </c>
      <c r="B124" s="741" t="s">
        <v>12</v>
      </c>
      <c r="C124" s="742"/>
      <c r="D124" s="742"/>
      <c r="E124" s="742"/>
      <c r="F124" s="321">
        <v>0.03</v>
      </c>
      <c r="G124" s="95">
        <f ca="1">ROUND(G$139*F124,2)</f>
        <v>136.35</v>
      </c>
      <c r="H124" s="4"/>
    </row>
    <row r="125" spans="1:8" x14ac:dyDescent="0.2">
      <c r="A125" s="499" t="s">
        <v>158</v>
      </c>
      <c r="B125" s="790" t="s">
        <v>59</v>
      </c>
      <c r="C125" s="742"/>
      <c r="D125" s="742"/>
      <c r="E125" s="874"/>
      <c r="F125" s="321">
        <v>0</v>
      </c>
      <c r="G125" s="95">
        <f ca="1">ROUND(G$139*F125,2)</f>
        <v>0</v>
      </c>
      <c r="H125" s="4"/>
    </row>
    <row r="126" spans="1:8" x14ac:dyDescent="0.2">
      <c r="A126" s="312" t="s">
        <v>486</v>
      </c>
      <c r="B126" s="790" t="s">
        <v>59</v>
      </c>
      <c r="C126" s="742"/>
      <c r="D126" s="742"/>
      <c r="E126" s="874"/>
      <c r="F126" s="321">
        <v>0</v>
      </c>
      <c r="G126" s="95">
        <f ca="1">ROUND(G$139*F126,2)</f>
        <v>0</v>
      </c>
      <c r="H126" s="4"/>
    </row>
    <row r="127" spans="1:8" x14ac:dyDescent="0.2">
      <c r="A127" s="312"/>
      <c r="B127" s="888" t="s">
        <v>103</v>
      </c>
      <c r="C127" s="889"/>
      <c r="D127" s="889"/>
      <c r="E127" s="889"/>
      <c r="F127" s="322">
        <f>SUM(F122:F126)</f>
        <v>0.03</v>
      </c>
      <c r="G127" s="323">
        <f ca="1">SUM(G122:G126)</f>
        <v>136.35</v>
      </c>
      <c r="H127" s="4">
        <f ca="1">ROUND(G139*F127,2)</f>
        <v>136.35</v>
      </c>
    </row>
    <row r="128" spans="1:8" x14ac:dyDescent="0.2">
      <c r="A128" s="882" t="s">
        <v>104</v>
      </c>
      <c r="B128" s="883"/>
      <c r="C128" s="883"/>
      <c r="D128" s="883"/>
      <c r="E128" s="883"/>
      <c r="F128" s="324">
        <f>SUM(F119,F120,F127)</f>
        <v>0.03</v>
      </c>
      <c r="G128" s="315">
        <f ca="1">SUM(G119:G126)</f>
        <v>136.35</v>
      </c>
      <c r="H128" s="4"/>
    </row>
    <row r="129" spans="1:8" x14ac:dyDescent="0.2">
      <c r="A129" s="890" t="s">
        <v>105</v>
      </c>
      <c r="B129" s="891"/>
      <c r="C129" s="891"/>
      <c r="D129" s="891"/>
      <c r="E129" s="891"/>
      <c r="F129" s="892"/>
      <c r="G129" s="893"/>
      <c r="H129" s="4"/>
    </row>
    <row r="130" spans="1:8" x14ac:dyDescent="0.2">
      <c r="A130" s="303" t="s">
        <v>28</v>
      </c>
      <c r="B130" s="894" t="s">
        <v>106</v>
      </c>
      <c r="C130" s="895"/>
      <c r="D130" s="895"/>
      <c r="E130" s="895"/>
      <c r="F130" s="896"/>
      <c r="G130" s="305">
        <f>G34</f>
        <v>2070.1799999999998</v>
      </c>
      <c r="H130" s="4"/>
    </row>
    <row r="131" spans="1:8" x14ac:dyDescent="0.2">
      <c r="A131" s="306" t="s">
        <v>29</v>
      </c>
      <c r="B131" s="877" t="s">
        <v>107</v>
      </c>
      <c r="C131" s="750"/>
      <c r="D131" s="750"/>
      <c r="E131" s="750"/>
      <c r="F131" s="751"/>
      <c r="G131" s="307">
        <f>G68</f>
        <v>2338.4699999999998</v>
      </c>
      <c r="H131" s="4"/>
    </row>
    <row r="132" spans="1:8" x14ac:dyDescent="0.2">
      <c r="A132" s="306" t="s">
        <v>30</v>
      </c>
      <c r="B132" s="877" t="s">
        <v>108</v>
      </c>
      <c r="C132" s="750"/>
      <c r="D132" s="750"/>
      <c r="E132" s="750"/>
      <c r="F132" s="751"/>
      <c r="G132" s="307">
        <f>G77</f>
        <v>0</v>
      </c>
      <c r="H132" s="4"/>
    </row>
    <row r="133" spans="1:8" x14ac:dyDescent="0.2">
      <c r="A133" s="306" t="s">
        <v>31</v>
      </c>
      <c r="B133" s="877" t="s">
        <v>109</v>
      </c>
      <c r="C133" s="750"/>
      <c r="D133" s="750"/>
      <c r="E133" s="750"/>
      <c r="F133" s="751"/>
      <c r="G133" s="307">
        <f>G106</f>
        <v>0</v>
      </c>
      <c r="H133" s="4"/>
    </row>
    <row r="134" spans="1:8" x14ac:dyDescent="0.2">
      <c r="A134" s="306" t="s">
        <v>32</v>
      </c>
      <c r="B134" s="877" t="s">
        <v>110</v>
      </c>
      <c r="C134" s="750"/>
      <c r="D134" s="750"/>
      <c r="E134" s="750"/>
      <c r="F134" s="751"/>
      <c r="G134" s="307">
        <f>G116</f>
        <v>0</v>
      </c>
      <c r="H134" s="4"/>
    </row>
    <row r="135" spans="1:8" x14ac:dyDescent="0.2">
      <c r="A135" s="306"/>
      <c r="B135" s="878" t="s">
        <v>111</v>
      </c>
      <c r="C135" s="753"/>
      <c r="D135" s="753"/>
      <c r="E135" s="753"/>
      <c r="F135" s="754"/>
      <c r="G135" s="307">
        <f>SUM(G130:G134)</f>
        <v>4408.6499999999996</v>
      </c>
      <c r="H135" s="4"/>
    </row>
    <row r="136" spans="1:8" x14ac:dyDescent="0.2">
      <c r="A136" s="306" t="s">
        <v>34</v>
      </c>
      <c r="B136" s="879" t="s">
        <v>112</v>
      </c>
      <c r="C136" s="880"/>
      <c r="D136" s="880"/>
      <c r="E136" s="880"/>
      <c r="F136" s="881"/>
      <c r="G136" s="307">
        <f ca="1">G128</f>
        <v>136.35</v>
      </c>
      <c r="H136" s="4"/>
    </row>
    <row r="137" spans="1:8" x14ac:dyDescent="0.2">
      <c r="A137" s="882" t="s">
        <v>113</v>
      </c>
      <c r="B137" s="883"/>
      <c r="C137" s="883"/>
      <c r="D137" s="883"/>
      <c r="E137" s="883"/>
      <c r="F137" s="884"/>
      <c r="G137" s="280">
        <f ca="1">SUM(G135:G136)</f>
        <v>4545</v>
      </c>
      <c r="H137" s="4">
        <f ca="1">SUM(G130:G136)-G135</f>
        <v>4545</v>
      </c>
    </row>
    <row r="138" spans="1:8" x14ac:dyDescent="0.2">
      <c r="A138" s="885" t="s">
        <v>13</v>
      </c>
      <c r="B138" s="886"/>
      <c r="C138" s="886"/>
      <c r="D138" s="886"/>
      <c r="E138" s="886"/>
      <c r="F138" s="886"/>
      <c r="G138" s="887"/>
      <c r="H138" s="4"/>
    </row>
    <row r="139" spans="1:8" x14ac:dyDescent="0.2">
      <c r="A139" s="325"/>
      <c r="B139" s="326" t="s">
        <v>114</v>
      </c>
      <c r="C139" s="326"/>
      <c r="D139" s="326"/>
      <c r="E139" s="326"/>
      <c r="F139" s="327"/>
      <c r="G139" s="328">
        <f ca="1">G137</f>
        <v>4545</v>
      </c>
      <c r="H139" s="4"/>
    </row>
    <row r="140" spans="1:8" x14ac:dyDescent="0.2">
      <c r="A140" s="329"/>
      <c r="B140" s="28" t="s">
        <v>115</v>
      </c>
      <c r="C140" s="28"/>
      <c r="D140" s="28"/>
      <c r="E140" s="28"/>
      <c r="F140" s="29">
        <f>F21</f>
        <v>1</v>
      </c>
      <c r="G140" s="330">
        <f ca="1">G139*F140</f>
        <v>4545</v>
      </c>
      <c r="H140" s="4"/>
    </row>
    <row r="141" spans="1:8" x14ac:dyDescent="0.2">
      <c r="A141" s="331"/>
      <c r="B141" s="332" t="s">
        <v>116</v>
      </c>
      <c r="C141" s="332"/>
      <c r="D141" s="332"/>
      <c r="E141" s="332"/>
      <c r="F141" s="333"/>
      <c r="G141" s="334">
        <f>F21*F22</f>
        <v>1</v>
      </c>
      <c r="H141" s="4"/>
    </row>
    <row r="142" spans="1:8" s="31" customFormat="1" x14ac:dyDescent="0.2">
      <c r="A142" s="335"/>
      <c r="B142" s="875" t="s">
        <v>4</v>
      </c>
      <c r="C142" s="875"/>
      <c r="D142" s="875"/>
      <c r="E142" s="875"/>
      <c r="F142" s="30">
        <f>F22</f>
        <v>1</v>
      </c>
      <c r="G142" s="336">
        <f ca="1">G140*F142</f>
        <v>4545</v>
      </c>
      <c r="H142" s="4"/>
    </row>
    <row r="143" spans="1:8" s="31" customFormat="1" ht="13.5" thickBot="1" x14ac:dyDescent="0.25">
      <c r="A143" s="337"/>
      <c r="B143" s="876" t="s">
        <v>410</v>
      </c>
      <c r="C143" s="876"/>
      <c r="D143" s="876"/>
      <c r="E143" s="876"/>
      <c r="F143" s="338">
        <v>12</v>
      </c>
      <c r="G143" s="339">
        <f ca="1">G142*F143</f>
        <v>54540</v>
      </c>
      <c r="H143" s="4"/>
    </row>
    <row r="144" spans="1:8" x14ac:dyDescent="0.2">
      <c r="F144" s="269"/>
    </row>
    <row r="151" spans="7:7" x14ac:dyDescent="0.2">
      <c r="G151" s="32"/>
    </row>
  </sheetData>
  <mergeCells count="151">
    <mergeCell ref="A1:G1"/>
    <mergeCell ref="A2:C2"/>
    <mergeCell ref="F2:G2"/>
    <mergeCell ref="A3:G4"/>
    <mergeCell ref="A5:G5"/>
    <mergeCell ref="A6:E6"/>
    <mergeCell ref="F6:G6"/>
    <mergeCell ref="F13:G13"/>
    <mergeCell ref="A14:G14"/>
    <mergeCell ref="A12:E12"/>
    <mergeCell ref="F12:G12"/>
    <mergeCell ref="A13:E13"/>
    <mergeCell ref="A7:E7"/>
    <mergeCell ref="F7:G7"/>
    <mergeCell ref="A8:G9"/>
    <mergeCell ref="A10:E10"/>
    <mergeCell ref="F10:G10"/>
    <mergeCell ref="A11:E11"/>
    <mergeCell ref="F11:G11"/>
    <mergeCell ref="A15:E15"/>
    <mergeCell ref="F15:G15"/>
    <mergeCell ref="A22:E22"/>
    <mergeCell ref="F22:G22"/>
    <mergeCell ref="A23:E23"/>
    <mergeCell ref="F23:G23"/>
    <mergeCell ref="A24:G24"/>
    <mergeCell ref="A16:E16"/>
    <mergeCell ref="F16:G16"/>
    <mergeCell ref="A17:E17"/>
    <mergeCell ref="F17:G17"/>
    <mergeCell ref="A18:E18"/>
    <mergeCell ref="F18:G18"/>
    <mergeCell ref="A25:G25"/>
    <mergeCell ref="A19:E19"/>
    <mergeCell ref="F19:G19"/>
    <mergeCell ref="A20:E20"/>
    <mergeCell ref="F20:G20"/>
    <mergeCell ref="A21:E21"/>
    <mergeCell ref="F21:G21"/>
    <mergeCell ref="B33:E33"/>
    <mergeCell ref="A34:F34"/>
    <mergeCell ref="B32:E32"/>
    <mergeCell ref="A35:G35"/>
    <mergeCell ref="A36:G36"/>
    <mergeCell ref="B37:E37"/>
    <mergeCell ref="B38:E38"/>
    <mergeCell ref="B26:E26"/>
    <mergeCell ref="B27:E27"/>
    <mergeCell ref="B28:E28"/>
    <mergeCell ref="B29:E29"/>
    <mergeCell ref="B30:E30"/>
    <mergeCell ref="B31:E31"/>
    <mergeCell ref="B46:E46"/>
    <mergeCell ref="B47:E47"/>
    <mergeCell ref="B48:E48"/>
    <mergeCell ref="B49:E49"/>
    <mergeCell ref="B50:E50"/>
    <mergeCell ref="A51:E51"/>
    <mergeCell ref="B39:E39"/>
    <mergeCell ref="A41:E41"/>
    <mergeCell ref="A42:G42"/>
    <mergeCell ref="B43:E43"/>
    <mergeCell ref="B44:E44"/>
    <mergeCell ref="B45:E45"/>
    <mergeCell ref="B58:D58"/>
    <mergeCell ref="B59:D59"/>
    <mergeCell ref="B60:D60"/>
    <mergeCell ref="B62:D62"/>
    <mergeCell ref="A63:F63"/>
    <mergeCell ref="A64:G64"/>
    <mergeCell ref="A52:G52"/>
    <mergeCell ref="B53:D53"/>
    <mergeCell ref="B54:D54"/>
    <mergeCell ref="B55:D55"/>
    <mergeCell ref="B56:D56"/>
    <mergeCell ref="B57:D57"/>
    <mergeCell ref="B61:D61"/>
    <mergeCell ref="B72:E72"/>
    <mergeCell ref="B73:E73"/>
    <mergeCell ref="B74:E74"/>
    <mergeCell ref="B75:E75"/>
    <mergeCell ref="B76:E76"/>
    <mergeCell ref="A77:E77"/>
    <mergeCell ref="B65:E65"/>
    <mergeCell ref="B66:E66"/>
    <mergeCell ref="B67:F67"/>
    <mergeCell ref="A68:F68"/>
    <mergeCell ref="A69:G69"/>
    <mergeCell ref="B71:E71"/>
    <mergeCell ref="B84:E84"/>
    <mergeCell ref="B85:E85"/>
    <mergeCell ref="A86:E86"/>
    <mergeCell ref="A87:G87"/>
    <mergeCell ref="B88:E88"/>
    <mergeCell ref="B89:E89"/>
    <mergeCell ref="A78:G78"/>
    <mergeCell ref="A79:G79"/>
    <mergeCell ref="B80:E80"/>
    <mergeCell ref="B81:E81"/>
    <mergeCell ref="B82:E82"/>
    <mergeCell ref="B83:E83"/>
    <mergeCell ref="A97:G97"/>
    <mergeCell ref="B98:E98"/>
    <mergeCell ref="A100:E100"/>
    <mergeCell ref="A101:G101"/>
    <mergeCell ref="B102:E102"/>
    <mergeCell ref="B103:E103"/>
    <mergeCell ref="B90:E90"/>
    <mergeCell ref="B91:E91"/>
    <mergeCell ref="A92:E92"/>
    <mergeCell ref="A93:G93"/>
    <mergeCell ref="B94:E94"/>
    <mergeCell ref="A96:E96"/>
    <mergeCell ref="B99:E99"/>
    <mergeCell ref="B95:E95"/>
    <mergeCell ref="B119:E119"/>
    <mergeCell ref="B120:E120"/>
    <mergeCell ref="B121:E121"/>
    <mergeCell ref="B122:E122"/>
    <mergeCell ref="B123:E123"/>
    <mergeCell ref="B124:E124"/>
    <mergeCell ref="B104:E104"/>
    <mergeCell ref="B105:E105"/>
    <mergeCell ref="A106:F106"/>
    <mergeCell ref="A107:G107"/>
    <mergeCell ref="A116:F116"/>
    <mergeCell ref="A117:G117"/>
    <mergeCell ref="B108:D108"/>
    <mergeCell ref="B109:D109"/>
    <mergeCell ref="B110:D110"/>
    <mergeCell ref="B111:D111"/>
    <mergeCell ref="B112:D112"/>
    <mergeCell ref="B113:D113"/>
    <mergeCell ref="B115:D115"/>
    <mergeCell ref="B114:D114"/>
    <mergeCell ref="B125:E125"/>
    <mergeCell ref="B142:E142"/>
    <mergeCell ref="B143:E143"/>
    <mergeCell ref="B133:F133"/>
    <mergeCell ref="B134:F134"/>
    <mergeCell ref="B135:F135"/>
    <mergeCell ref="B136:F136"/>
    <mergeCell ref="A137:F137"/>
    <mergeCell ref="A138:G138"/>
    <mergeCell ref="B127:E127"/>
    <mergeCell ref="A128:E128"/>
    <mergeCell ref="A129:G129"/>
    <mergeCell ref="B130:F130"/>
    <mergeCell ref="B131:F131"/>
    <mergeCell ref="B132:F132"/>
    <mergeCell ref="B126:E12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EA9DB"/>
    <pageSetUpPr fitToPage="1"/>
  </sheetPr>
  <dimension ref="A1:IM182"/>
  <sheetViews>
    <sheetView showGridLines="0" view="pageBreakPreview" topLeftCell="A40" zoomScaleNormal="100" zoomScaleSheetLayoutView="100" workbookViewId="0">
      <selection activeCell="H60" sqref="H60"/>
    </sheetView>
  </sheetViews>
  <sheetFormatPr defaultColWidth="11.42578125" defaultRowHeight="16.5" x14ac:dyDescent="0.3"/>
  <cols>
    <col min="1" max="1" width="3" style="56" bestFit="1" customWidth="1"/>
    <col min="2" max="2" width="44.28515625" style="56" customWidth="1"/>
    <col min="3" max="8" width="14.5703125" style="56" customWidth="1"/>
    <col min="9" max="9" width="12.5703125" style="56" bestFit="1" customWidth="1"/>
    <col min="10" max="16384" width="11.42578125" style="56"/>
  </cols>
  <sheetData>
    <row r="1" spans="2:12" s="33" customFormat="1" ht="26.25" customHeight="1" x14ac:dyDescent="0.3">
      <c r="B1" s="1037" t="s">
        <v>500</v>
      </c>
      <c r="C1" s="1038"/>
      <c r="D1" s="1038"/>
      <c r="E1" s="1038"/>
      <c r="F1" s="1038"/>
      <c r="G1" s="1038"/>
      <c r="H1" s="1039"/>
      <c r="I1" s="56"/>
      <c r="L1" s="50"/>
    </row>
    <row r="2" spans="2:12" s="33" customFormat="1" ht="26.25" customHeight="1" thickBot="1" x14ac:dyDescent="0.35">
      <c r="B2" s="1040" t="s">
        <v>503</v>
      </c>
      <c r="C2" s="1041"/>
      <c r="D2" s="1041"/>
      <c r="E2" s="1041"/>
      <c r="F2" s="1041"/>
      <c r="G2" s="1041"/>
      <c r="H2" s="1042"/>
      <c r="I2" s="56"/>
      <c r="L2" s="50"/>
    </row>
    <row r="3" spans="2:12" s="33" customFormat="1" ht="38.25" customHeight="1" thickBot="1" x14ac:dyDescent="0.35">
      <c r="B3" s="1043" t="s">
        <v>394</v>
      </c>
      <c r="C3" s="1044"/>
      <c r="D3" s="1044"/>
      <c r="E3" s="1044"/>
      <c r="F3" s="1044"/>
      <c r="G3" s="1044"/>
      <c r="H3" s="1045"/>
      <c r="I3" s="56"/>
      <c r="J3" s="1014"/>
      <c r="K3" s="1014"/>
      <c r="L3" s="50"/>
    </row>
    <row r="4" spans="2:12" ht="15.95" customHeight="1" x14ac:dyDescent="0.3">
      <c r="B4" s="1032" t="s">
        <v>159</v>
      </c>
      <c r="C4" s="1033"/>
      <c r="D4" s="1033"/>
      <c r="E4" s="1033"/>
      <c r="F4" s="1033"/>
      <c r="G4" s="1033"/>
      <c r="H4" s="1034"/>
    </row>
    <row r="5" spans="2:12" ht="15.95" customHeight="1" thickBot="1" x14ac:dyDescent="0.35">
      <c r="B5" s="1032"/>
      <c r="C5" s="1033"/>
      <c r="D5" s="1033"/>
      <c r="E5" s="1033"/>
      <c r="F5" s="1033"/>
      <c r="G5" s="1033"/>
      <c r="H5" s="1034"/>
    </row>
    <row r="6" spans="2:12" ht="15.95" customHeight="1" thickBot="1" x14ac:dyDescent="0.35">
      <c r="B6" s="158" t="s">
        <v>174</v>
      </c>
      <c r="C6" s="1055" t="s">
        <v>395</v>
      </c>
      <c r="D6" s="1056"/>
      <c r="E6" s="1056"/>
      <c r="F6" s="1056"/>
      <c r="G6" s="1056"/>
      <c r="H6" s="1057"/>
    </row>
    <row r="7" spans="2:12" ht="48.6" customHeight="1" thickBot="1" x14ac:dyDescent="0.35">
      <c r="B7" s="137" t="s">
        <v>193</v>
      </c>
      <c r="C7" s="159" t="s">
        <v>432</v>
      </c>
      <c r="D7" s="159" t="s">
        <v>465</v>
      </c>
      <c r="E7" s="159" t="s">
        <v>243</v>
      </c>
      <c r="F7" s="160" t="s">
        <v>464</v>
      </c>
      <c r="G7" s="81"/>
      <c r="H7" s="71"/>
    </row>
    <row r="8" spans="2:12" ht="15.95" customHeight="1" x14ac:dyDescent="0.3">
      <c r="B8" s="141" t="s">
        <v>236</v>
      </c>
      <c r="C8" s="142">
        <v>545.99</v>
      </c>
      <c r="D8" s="143">
        <v>800</v>
      </c>
      <c r="E8" s="144">
        <f t="shared" ref="E8:E13" si="0">C8/D8</f>
        <v>0.68</v>
      </c>
      <c r="F8" s="1026">
        <f>ROUNDDOWN(SUM(E8:E12),0)</f>
        <v>2</v>
      </c>
      <c r="G8" s="1015"/>
      <c r="H8" s="71"/>
    </row>
    <row r="9" spans="2:12" ht="15.95" customHeight="1" x14ac:dyDescent="0.3">
      <c r="B9" s="161" t="s">
        <v>247</v>
      </c>
      <c r="C9" s="59">
        <v>9223.76</v>
      </c>
      <c r="D9" s="369">
        <v>9000</v>
      </c>
      <c r="E9" s="163">
        <f t="shared" si="0"/>
        <v>1.02</v>
      </c>
      <c r="F9" s="1027"/>
      <c r="G9" s="1015"/>
      <c r="H9" s="71"/>
    </row>
    <row r="10" spans="2:12" ht="15.95" customHeight="1" x14ac:dyDescent="0.3">
      <c r="B10" s="161" t="s">
        <v>414</v>
      </c>
      <c r="C10" s="164">
        <v>80.31</v>
      </c>
      <c r="D10" s="162">
        <v>300</v>
      </c>
      <c r="E10" s="163">
        <f t="shared" si="0"/>
        <v>0.27</v>
      </c>
      <c r="F10" s="1027"/>
      <c r="G10" s="1015"/>
      <c r="H10" s="71"/>
    </row>
    <row r="11" spans="2:12" ht="15.95" customHeight="1" x14ac:dyDescent="0.3">
      <c r="B11" s="340" t="s">
        <v>238</v>
      </c>
      <c r="C11" s="201">
        <v>43.56</v>
      </c>
      <c r="D11" s="202">
        <v>200</v>
      </c>
      <c r="E11" s="163">
        <f t="shared" si="0"/>
        <v>0.22</v>
      </c>
      <c r="F11" s="1027"/>
      <c r="G11" s="1015"/>
      <c r="H11" s="71"/>
    </row>
    <row r="12" spans="2:12" ht="15.95" customHeight="1" thickBot="1" x14ac:dyDescent="0.35">
      <c r="B12" s="165" t="s">
        <v>411</v>
      </c>
      <c r="C12" s="166">
        <v>0</v>
      </c>
      <c r="D12" s="167">
        <v>200</v>
      </c>
      <c r="E12" s="341">
        <f t="shared" si="0"/>
        <v>0</v>
      </c>
      <c r="F12" s="1028"/>
      <c r="G12" s="1015"/>
      <c r="H12" s="71"/>
    </row>
    <row r="13" spans="2:12" ht="15.95" customHeight="1" thickBot="1" x14ac:dyDescent="0.35">
      <c r="B13" s="138" t="s">
        <v>237</v>
      </c>
      <c r="C13" s="59">
        <v>10000</v>
      </c>
      <c r="D13" s="368">
        <v>10000</v>
      </c>
      <c r="E13" s="140">
        <f t="shared" si="0"/>
        <v>1</v>
      </c>
      <c r="F13" s="155">
        <f>ROUNDUP(E13,0)</f>
        <v>1</v>
      </c>
      <c r="G13" s="154"/>
      <c r="H13" s="71"/>
      <c r="I13" s="145"/>
    </row>
    <row r="14" spans="2:12" ht="15.95" customHeight="1" x14ac:dyDescent="0.3">
      <c r="B14" s="1018" t="s">
        <v>175</v>
      </c>
      <c r="C14" s="1019"/>
      <c r="D14" s="1019"/>
      <c r="E14" s="1019"/>
      <c r="F14" s="168">
        <f>'Agente de Higienização_CEARA'!F22</f>
        <v>2</v>
      </c>
      <c r="G14" s="125"/>
      <c r="H14" s="71"/>
    </row>
    <row r="15" spans="2:12" ht="15.95" customHeight="1" x14ac:dyDescent="0.3">
      <c r="B15" s="1020" t="s">
        <v>216</v>
      </c>
      <c r="C15" s="1021"/>
      <c r="D15" s="1021"/>
      <c r="E15" s="1021"/>
      <c r="F15" s="169">
        <f>Jardineiro_CEARA!F22</f>
        <v>1</v>
      </c>
      <c r="G15" s="126"/>
      <c r="H15" s="71"/>
    </row>
    <row r="16" spans="2:12" ht="15.95" customHeight="1" x14ac:dyDescent="0.3">
      <c r="B16" s="1029" t="str">
        <f>'Ajud. de Serv. Diversos_CEARA'!F16</f>
        <v>Ajudante de Serviços Diversos</v>
      </c>
      <c r="C16" s="1030"/>
      <c r="D16" s="1030"/>
      <c r="E16" s="1031"/>
      <c r="F16" s="270">
        <f>'Ajud. de Serv. Diversos_CEARA'!F22</f>
        <v>1</v>
      </c>
      <c r="G16" s="126"/>
      <c r="H16" s="71"/>
    </row>
    <row r="17" spans="2:9" ht="15.95" customHeight="1" thickBot="1" x14ac:dyDescent="0.35">
      <c r="B17" s="1022" t="s">
        <v>472</v>
      </c>
      <c r="C17" s="1023"/>
      <c r="D17" s="1023"/>
      <c r="E17" s="1023"/>
      <c r="F17" s="152">
        <f>SUM(F14:F16)</f>
        <v>4</v>
      </c>
      <c r="G17" s="127"/>
      <c r="H17" s="71"/>
    </row>
    <row r="18" spans="2:9" ht="15.95" customHeight="1" thickBot="1" x14ac:dyDescent="0.35">
      <c r="B18" s="170"/>
      <c r="C18" s="58"/>
      <c r="D18" s="57"/>
      <c r="E18" s="58"/>
      <c r="F18" s="58"/>
      <c r="G18" s="58"/>
      <c r="H18" s="71"/>
    </row>
    <row r="19" spans="2:9" ht="29.45" customHeight="1" thickBot="1" x14ac:dyDescent="0.35">
      <c r="B19" s="82" t="s">
        <v>194</v>
      </c>
      <c r="C19" s="171" t="s">
        <v>178</v>
      </c>
      <c r="D19" s="81"/>
      <c r="E19" s="81"/>
      <c r="F19" s="58"/>
      <c r="G19" s="58"/>
      <c r="H19" s="71"/>
    </row>
    <row r="20" spans="2:9" ht="15.95" customHeight="1" x14ac:dyDescent="0.3">
      <c r="B20" s="172" t="str">
        <f>'Agente de Higienização_CEARA'!F16</f>
        <v>Agente de Higienização</v>
      </c>
      <c r="C20" s="173">
        <f ca="1">'Agente de Higienização_CEARA'!G140</f>
        <v>4893.67</v>
      </c>
      <c r="D20" s="80"/>
      <c r="E20" s="80"/>
      <c r="F20" s="58"/>
      <c r="G20" s="58"/>
      <c r="H20" s="73"/>
    </row>
    <row r="21" spans="2:9" ht="15.95" customHeight="1" x14ac:dyDescent="0.3">
      <c r="B21" s="172" t="s">
        <v>216</v>
      </c>
      <c r="C21" s="173">
        <f ca="1">Jardineiro_CEARA!G140</f>
        <v>3876.41</v>
      </c>
      <c r="D21" s="80"/>
      <c r="E21" s="80"/>
      <c r="F21" s="58"/>
      <c r="G21" s="58"/>
      <c r="H21" s="73"/>
    </row>
    <row r="22" spans="2:9" ht="15.95" customHeight="1" thickBot="1" x14ac:dyDescent="0.35">
      <c r="B22" s="398" t="str">
        <f>'Ajud. de Serv. Diversos_CEARA'!F16</f>
        <v>Ajudante de Serviços Diversos</v>
      </c>
      <c r="C22" s="395">
        <f ca="1">'Ajud. de Serv. Diversos_CEARA'!G140</f>
        <v>4545</v>
      </c>
      <c r="D22" s="80"/>
      <c r="E22" s="80"/>
      <c r="F22" s="58"/>
      <c r="G22" s="58"/>
      <c r="H22" s="73"/>
    </row>
    <row r="23" spans="2:9" ht="15.95" customHeight="1" thickBot="1" x14ac:dyDescent="0.35">
      <c r="B23" s="170"/>
      <c r="C23" s="58"/>
      <c r="D23" s="57"/>
      <c r="E23" s="58"/>
      <c r="F23" s="58"/>
      <c r="G23" s="58"/>
      <c r="H23" s="71"/>
    </row>
    <row r="24" spans="2:9" ht="28.5" customHeight="1" thickBot="1" x14ac:dyDescent="0.35">
      <c r="B24" s="174" t="s">
        <v>165</v>
      </c>
      <c r="C24" s="175" t="s">
        <v>467</v>
      </c>
      <c r="D24" s="175" t="s">
        <v>172</v>
      </c>
      <c r="E24" s="175" t="s">
        <v>466</v>
      </c>
      <c r="F24" s="58"/>
      <c r="G24" s="58"/>
      <c r="H24" s="71"/>
    </row>
    <row r="25" spans="2:9" s="60" customFormat="1" ht="15.95" customHeight="1" x14ac:dyDescent="0.3">
      <c r="B25" s="176" t="s">
        <v>163</v>
      </c>
      <c r="C25" s="177"/>
      <c r="D25" s="177"/>
      <c r="E25" s="178"/>
      <c r="F25" s="58"/>
      <c r="G25" s="58"/>
      <c r="H25" s="71"/>
    </row>
    <row r="26" spans="2:9" s="60" customFormat="1" ht="15.95" customHeight="1" x14ac:dyDescent="0.3">
      <c r="B26" s="172" t="str">
        <f>B20</f>
        <v>Agente de Higienização</v>
      </c>
      <c r="C26" s="500">
        <f>ROUND(1/(26*D8),9)</f>
        <v>4.8077000000000001E-5</v>
      </c>
      <c r="D26" s="61">
        <f ca="1">C20</f>
        <v>4893.67</v>
      </c>
      <c r="E26" s="77">
        <f ca="1">ROUND(D26*C26,2)</f>
        <v>0.24</v>
      </c>
      <c r="F26" s="58"/>
      <c r="G26" s="58"/>
      <c r="H26" s="71"/>
    </row>
    <row r="27" spans="2:9" s="60" customFormat="1" ht="15.95" customHeight="1" thickBot="1" x14ac:dyDescent="0.35">
      <c r="B27" s="179"/>
      <c r="C27" s="1024" t="s">
        <v>170</v>
      </c>
      <c r="D27" s="1025"/>
      <c r="E27" s="180">
        <f ca="1">SUM(E26:E26)</f>
        <v>0.24</v>
      </c>
      <c r="F27" s="58"/>
      <c r="G27" s="58"/>
      <c r="H27" s="71"/>
    </row>
    <row r="28" spans="2:9" s="60" customFormat="1" ht="30.75" customHeight="1" thickBot="1" x14ac:dyDescent="0.35">
      <c r="B28" s="174" t="s">
        <v>165</v>
      </c>
      <c r="C28" s="175" t="s">
        <v>467</v>
      </c>
      <c r="D28" s="175" t="s">
        <v>172</v>
      </c>
      <c r="E28" s="175" t="s">
        <v>466</v>
      </c>
      <c r="F28" s="58"/>
      <c r="G28" s="58"/>
      <c r="H28" s="71"/>
    </row>
    <row r="29" spans="2:9" s="60" customFormat="1" ht="15.95" customHeight="1" x14ac:dyDescent="0.3">
      <c r="B29" s="176" t="s">
        <v>161</v>
      </c>
      <c r="C29" s="177"/>
      <c r="D29" s="177"/>
      <c r="E29" s="178"/>
      <c r="F29" s="58"/>
      <c r="G29" s="58"/>
      <c r="H29" s="71"/>
      <c r="I29" s="501" t="s">
        <v>491</v>
      </c>
    </row>
    <row r="30" spans="2:9" s="60" customFormat="1" ht="15.95" customHeight="1" x14ac:dyDescent="0.3">
      <c r="B30" s="172" t="str">
        <f>B20</f>
        <v>Agente de Higienização</v>
      </c>
      <c r="C30" s="181">
        <f>ROUND(1/(D9),9)</f>
        <v>1.11111E-4</v>
      </c>
      <c r="D30" s="61">
        <f ca="1">C20</f>
        <v>4893.67</v>
      </c>
      <c r="E30" s="77">
        <f ca="1">ROUND(D30*C30,2)</f>
        <v>0.54</v>
      </c>
      <c r="F30" s="58"/>
      <c r="G30" s="58"/>
      <c r="H30" s="71"/>
    </row>
    <row r="31" spans="2:9" s="60" customFormat="1" ht="15.95" customHeight="1" thickBot="1" x14ac:dyDescent="0.35">
      <c r="B31" s="179"/>
      <c r="C31" s="1024" t="s">
        <v>169</v>
      </c>
      <c r="D31" s="1025"/>
      <c r="E31" s="180">
        <f ca="1">SUM(E30:E30)</f>
        <v>0.54</v>
      </c>
      <c r="F31" s="58"/>
      <c r="G31" s="58"/>
      <c r="H31" s="71"/>
    </row>
    <row r="32" spans="2:9" s="60" customFormat="1" ht="15.95" customHeight="1" x14ac:dyDescent="0.3">
      <c r="B32" s="133" t="s">
        <v>239</v>
      </c>
      <c r="C32" s="64"/>
      <c r="D32" s="64"/>
      <c r="E32" s="178"/>
      <c r="F32" s="58"/>
      <c r="G32" s="58"/>
      <c r="H32" s="71"/>
    </row>
    <row r="33" spans="1:8" s="60" customFormat="1" ht="15.95" customHeight="1" x14ac:dyDescent="0.3">
      <c r="B33" s="172" t="str">
        <f>B20</f>
        <v>Agente de Higienização</v>
      </c>
      <c r="C33" s="500">
        <f>ROUND(1/(D11),9)</f>
        <v>5.0000000000000001E-3</v>
      </c>
      <c r="D33" s="182">
        <f ca="1">C20</f>
        <v>4893.67</v>
      </c>
      <c r="E33" s="62">
        <f ca="1">ROUND(D33*C33,2)</f>
        <v>24.47</v>
      </c>
      <c r="F33" s="58"/>
      <c r="G33" s="58"/>
      <c r="H33" s="71"/>
    </row>
    <row r="34" spans="1:8" s="63" customFormat="1" ht="15.95" customHeight="1" thickBot="1" x14ac:dyDescent="0.35">
      <c r="B34" s="179"/>
      <c r="C34" s="1024" t="s">
        <v>240</v>
      </c>
      <c r="D34" s="1025"/>
      <c r="E34" s="183">
        <f ca="1">SUM(E33)</f>
        <v>24.47</v>
      </c>
      <c r="F34" s="58"/>
      <c r="G34" s="58"/>
      <c r="H34" s="71"/>
    </row>
    <row r="35" spans="1:8" s="63" customFormat="1" ht="15.95" customHeight="1" x14ac:dyDescent="0.3">
      <c r="B35" s="133" t="s">
        <v>412</v>
      </c>
      <c r="C35" s="64"/>
      <c r="D35" s="64"/>
      <c r="E35" s="178"/>
      <c r="F35" s="58"/>
      <c r="G35" s="58"/>
      <c r="H35" s="71"/>
    </row>
    <row r="36" spans="1:8" s="63" customFormat="1" ht="15.95" customHeight="1" x14ac:dyDescent="0.3">
      <c r="B36" s="347" t="str">
        <f>B20</f>
        <v>Agente de Higienização</v>
      </c>
      <c r="C36" s="500">
        <f>ROUND(1/(D12),9)</f>
        <v>5.0000000000000001E-3</v>
      </c>
      <c r="D36" s="182">
        <f ca="1">C20</f>
        <v>4893.67</v>
      </c>
      <c r="E36" s="62">
        <f ca="1">ROUND(D36*C36,2)</f>
        <v>24.47</v>
      </c>
      <c r="F36" s="58"/>
      <c r="G36" s="58"/>
      <c r="H36" s="71"/>
    </row>
    <row r="37" spans="1:8" s="63" customFormat="1" ht="15.95" customHeight="1" thickBot="1" x14ac:dyDescent="0.35">
      <c r="B37" s="179"/>
      <c r="C37" s="1024" t="s">
        <v>240</v>
      </c>
      <c r="D37" s="1025"/>
      <c r="E37" s="183">
        <f ca="1">SUM(E36)</f>
        <v>24.47</v>
      </c>
      <c r="F37" s="58"/>
      <c r="G37" s="58"/>
      <c r="H37" s="71"/>
    </row>
    <row r="38" spans="1:8" s="60" customFormat="1" ht="15.95" customHeight="1" thickBot="1" x14ac:dyDescent="0.35">
      <c r="B38" s="184"/>
      <c r="C38" s="58"/>
      <c r="D38" s="57"/>
      <c r="E38" s="58"/>
      <c r="F38" s="57"/>
      <c r="G38" s="58"/>
      <c r="H38" s="71"/>
    </row>
    <row r="39" spans="1:8" s="60" customFormat="1" ht="15.95" customHeight="1" thickBot="1" x14ac:dyDescent="0.35">
      <c r="B39" s="1016" t="s">
        <v>165</v>
      </c>
      <c r="C39" s="1017" t="s">
        <v>467</v>
      </c>
      <c r="D39" s="1017" t="s">
        <v>244</v>
      </c>
      <c r="E39" s="1017" t="s">
        <v>245</v>
      </c>
      <c r="F39" s="1017" t="s">
        <v>168</v>
      </c>
      <c r="G39" s="1017" t="s">
        <v>167</v>
      </c>
      <c r="H39" s="1048" t="s">
        <v>468</v>
      </c>
    </row>
    <row r="40" spans="1:8" s="60" customFormat="1" ht="36" customHeight="1" thickBot="1" x14ac:dyDescent="0.35">
      <c r="B40" s="1016"/>
      <c r="C40" s="1017"/>
      <c r="D40" s="1017"/>
      <c r="E40" s="1017"/>
      <c r="F40" s="1017"/>
      <c r="G40" s="1017"/>
      <c r="H40" s="1048"/>
    </row>
    <row r="41" spans="1:8" s="60" customFormat="1" ht="15.95" customHeight="1" x14ac:dyDescent="0.3">
      <c r="B41" s="185" t="s">
        <v>310</v>
      </c>
      <c r="C41" s="186"/>
      <c r="D41" s="186"/>
      <c r="E41" s="186"/>
      <c r="F41" s="186"/>
      <c r="G41" s="186"/>
      <c r="H41" s="187"/>
    </row>
    <row r="42" spans="1:8" s="60" customFormat="1" ht="15.95" customHeight="1" x14ac:dyDescent="0.3">
      <c r="B42" s="74" t="str">
        <f>B20</f>
        <v>Agente de Higienização</v>
      </c>
      <c r="C42" s="181">
        <f>ROUND(1/D10,9)</f>
        <v>3.333333E-3</v>
      </c>
      <c r="D42" s="188">
        <f>((C10/D10)*8)</f>
        <v>2</v>
      </c>
      <c r="E42" s="189">
        <f>ROUND(1/188.76,9)</f>
        <v>5.2977329999999998E-3</v>
      </c>
      <c r="F42" s="190">
        <f>ROUND(((C42)*(E42)*(D42)),9)</f>
        <v>3.5318000000000003E-5</v>
      </c>
      <c r="G42" s="191">
        <f ca="1">C20</f>
        <v>4893.67</v>
      </c>
      <c r="H42" s="192">
        <f ca="1">ROUND(G42*F42,2)</f>
        <v>0.17</v>
      </c>
    </row>
    <row r="43" spans="1:8" s="60" customFormat="1" ht="15.95" customHeight="1" thickBot="1" x14ac:dyDescent="0.35">
      <c r="B43" s="193"/>
      <c r="C43" s="194"/>
      <c r="D43" s="194"/>
      <c r="E43" s="194"/>
      <c r="F43" s="194"/>
      <c r="G43" s="195" t="s">
        <v>311</v>
      </c>
      <c r="H43" s="196">
        <f ca="1">ROUND(SUM(H42:H42),2)</f>
        <v>0.17</v>
      </c>
    </row>
    <row r="44" spans="1:8" s="66" customFormat="1" ht="15.95" customHeight="1" thickBot="1" x14ac:dyDescent="0.35">
      <c r="A44" s="131"/>
      <c r="B44" s="197"/>
      <c r="C44" s="129"/>
      <c r="D44" s="129"/>
      <c r="E44" s="129"/>
      <c r="F44" s="129"/>
      <c r="G44" s="130"/>
      <c r="H44" s="132"/>
    </row>
    <row r="45" spans="1:8" s="60" customFormat="1" ht="39" thickBot="1" x14ac:dyDescent="0.35">
      <c r="B45" s="174" t="s">
        <v>165</v>
      </c>
      <c r="C45" s="175" t="s">
        <v>467</v>
      </c>
      <c r="D45" s="175" t="s">
        <v>172</v>
      </c>
      <c r="E45" s="175" t="s">
        <v>466</v>
      </c>
      <c r="F45" s="58"/>
      <c r="G45" s="58"/>
      <c r="H45" s="71"/>
    </row>
    <row r="46" spans="1:8" s="60" customFormat="1" ht="15.95" customHeight="1" x14ac:dyDescent="0.3">
      <c r="B46" s="176" t="s">
        <v>241</v>
      </c>
      <c r="C46" s="177"/>
      <c r="D46" s="177"/>
      <c r="E46" s="178"/>
      <c r="F46" s="58"/>
      <c r="G46" s="58"/>
      <c r="H46" s="71"/>
    </row>
    <row r="47" spans="1:8" s="60" customFormat="1" ht="15.95" customHeight="1" x14ac:dyDescent="0.3">
      <c r="B47" s="172" t="str">
        <f>B20</f>
        <v>Agente de Higienização</v>
      </c>
      <c r="C47" s="503">
        <f>ROUND(1/(26*D13),9)</f>
        <v>3.8460000000000001E-6</v>
      </c>
      <c r="D47" s="459">
        <f ca="1">C20</f>
        <v>4893.67</v>
      </c>
      <c r="E47" s="77">
        <f ca="1">ROUND(D47*C47,2)</f>
        <v>0.02</v>
      </c>
      <c r="F47" s="58"/>
      <c r="G47" s="58"/>
      <c r="H47" s="71"/>
    </row>
    <row r="48" spans="1:8" s="63" customFormat="1" ht="15.95" customHeight="1" x14ac:dyDescent="0.3">
      <c r="B48" s="172" t="str">
        <f>B21</f>
        <v>Jardineiro</v>
      </c>
      <c r="C48" s="500">
        <f>ROUND(1/(D13),9)</f>
        <v>1E-4</v>
      </c>
      <c r="D48" s="61">
        <f ca="1">C21</f>
        <v>3876.41</v>
      </c>
      <c r="E48" s="77">
        <f ca="1">ROUND(D48*C48,2)</f>
        <v>0.39</v>
      </c>
      <c r="F48" s="58"/>
      <c r="G48" s="58"/>
      <c r="H48" s="71"/>
    </row>
    <row r="49" spans="1:247" s="60" customFormat="1" ht="15.95" customHeight="1" thickBot="1" x14ac:dyDescent="0.35">
      <c r="A49" s="65"/>
      <c r="B49" s="179"/>
      <c r="C49" s="1024" t="s">
        <v>246</v>
      </c>
      <c r="D49" s="1025"/>
      <c r="E49" s="180">
        <f ca="1">SUM(E47:E48)</f>
        <v>0.41</v>
      </c>
      <c r="F49" s="129"/>
      <c r="G49" s="130"/>
      <c r="H49" s="128"/>
    </row>
    <row r="50" spans="1:247" s="60" customFormat="1" ht="15.95" customHeight="1" thickBot="1" x14ac:dyDescent="0.35">
      <c r="A50" s="65"/>
      <c r="B50" s="170"/>
      <c r="C50" s="58"/>
      <c r="D50" s="58"/>
      <c r="E50" s="58"/>
      <c r="F50" s="58"/>
      <c r="G50" s="58"/>
      <c r="H50" s="71"/>
    </row>
    <row r="51" spans="1:247" s="60" customFormat="1" ht="15.95" customHeight="1" thickBot="1" x14ac:dyDescent="0.35">
      <c r="B51" s="1049" t="s">
        <v>165</v>
      </c>
      <c r="C51" s="1046" t="s">
        <v>470</v>
      </c>
      <c r="D51" s="1051" t="s">
        <v>469</v>
      </c>
      <c r="E51" s="1046" t="s">
        <v>460</v>
      </c>
      <c r="F51" s="1046" t="s">
        <v>471</v>
      </c>
      <c r="G51" s="1053" t="s">
        <v>461</v>
      </c>
      <c r="H51" s="71"/>
    </row>
    <row r="52" spans="1:247" s="60" customFormat="1" ht="29.45" customHeight="1" thickBot="1" x14ac:dyDescent="0.35">
      <c r="B52" s="1050"/>
      <c r="C52" s="1047"/>
      <c r="D52" s="1052"/>
      <c r="E52" s="1047"/>
      <c r="F52" s="1047"/>
      <c r="G52" s="1054"/>
      <c r="H52" s="71"/>
      <c r="IF52" s="66"/>
      <c r="IG52" s="66"/>
      <c r="IH52" s="66"/>
      <c r="II52" s="66"/>
      <c r="IJ52" s="66"/>
      <c r="IK52" s="66"/>
      <c r="IL52" s="66"/>
      <c r="IM52" s="66"/>
    </row>
    <row r="53" spans="1:247" s="60" customFormat="1" ht="15.95" customHeight="1" x14ac:dyDescent="0.3">
      <c r="B53" s="133" t="s">
        <v>163</v>
      </c>
      <c r="C53" s="67">
        <f ca="1">E27</f>
        <v>0.24</v>
      </c>
      <c r="D53" s="68">
        <f t="shared" ref="D53:D58" si="1">C8</f>
        <v>545.99</v>
      </c>
      <c r="E53" s="198">
        <f t="shared" ref="E53:E58" ca="1" si="2">ROUND(D53*C53,2)</f>
        <v>131.04</v>
      </c>
      <c r="F53" s="68">
        <f t="shared" ref="F53:G58" si="3">D53*12</f>
        <v>6551.88</v>
      </c>
      <c r="G53" s="200">
        <f t="shared" ca="1" si="3"/>
        <v>1572.48</v>
      </c>
      <c r="H53" s="72"/>
      <c r="IE53" s="66"/>
      <c r="IF53" s="66"/>
      <c r="IG53" s="66"/>
      <c r="IH53" s="66"/>
      <c r="II53" s="66"/>
      <c r="IJ53" s="66"/>
      <c r="IK53" s="66"/>
      <c r="IL53" s="66"/>
    </row>
    <row r="54" spans="1:247" s="60" customFormat="1" ht="15.95" customHeight="1" x14ac:dyDescent="0.3">
      <c r="B54" s="157" t="s">
        <v>161</v>
      </c>
      <c r="C54" s="67">
        <f ca="1">E31</f>
        <v>0.54</v>
      </c>
      <c r="D54" s="68">
        <f t="shared" si="1"/>
        <v>9223.76</v>
      </c>
      <c r="E54" s="198">
        <f t="shared" ca="1" si="2"/>
        <v>4980.83</v>
      </c>
      <c r="F54" s="68">
        <f t="shared" si="3"/>
        <v>110685.12</v>
      </c>
      <c r="G54" s="200">
        <f t="shared" ca="1" si="3"/>
        <v>59769.96</v>
      </c>
      <c r="H54" s="72"/>
      <c r="IE54" s="66"/>
      <c r="IF54" s="66"/>
      <c r="IG54" s="66"/>
      <c r="IH54" s="66"/>
      <c r="II54" s="66"/>
      <c r="IJ54" s="66"/>
      <c r="IK54" s="66"/>
      <c r="IL54" s="66"/>
    </row>
    <row r="55" spans="1:247" s="60" customFormat="1" ht="15.95" customHeight="1" x14ac:dyDescent="0.3">
      <c r="B55" s="157" t="s">
        <v>413</v>
      </c>
      <c r="C55" s="67">
        <f ca="1">H43</f>
        <v>0.17</v>
      </c>
      <c r="D55" s="68">
        <f t="shared" si="1"/>
        <v>80.31</v>
      </c>
      <c r="E55" s="198">
        <f t="shared" ca="1" si="2"/>
        <v>13.65</v>
      </c>
      <c r="F55" s="68">
        <f t="shared" si="3"/>
        <v>963.72</v>
      </c>
      <c r="G55" s="200">
        <f t="shared" ca="1" si="3"/>
        <v>163.80000000000001</v>
      </c>
      <c r="H55" s="72"/>
    </row>
    <row r="56" spans="1:247" s="60" customFormat="1" ht="15.95" customHeight="1" x14ac:dyDescent="0.3">
      <c r="B56" s="157" t="s">
        <v>239</v>
      </c>
      <c r="C56" s="67">
        <f ca="1">E34</f>
        <v>24.47</v>
      </c>
      <c r="D56" s="68">
        <f t="shared" si="1"/>
        <v>43.56</v>
      </c>
      <c r="E56" s="198">
        <f t="shared" ca="1" si="2"/>
        <v>1065.9100000000001</v>
      </c>
      <c r="F56" s="68">
        <f t="shared" si="3"/>
        <v>522.72</v>
      </c>
      <c r="G56" s="200">
        <f t="shared" ca="1" si="3"/>
        <v>12790.92</v>
      </c>
      <c r="H56" s="72"/>
    </row>
    <row r="57" spans="1:247" s="60" customFormat="1" ht="15.95" customHeight="1" x14ac:dyDescent="0.3">
      <c r="B57" s="157" t="s">
        <v>412</v>
      </c>
      <c r="C57" s="67">
        <f ca="1">E37</f>
        <v>24.47</v>
      </c>
      <c r="D57" s="68">
        <f t="shared" si="1"/>
        <v>0</v>
      </c>
      <c r="E57" s="198">
        <f t="shared" ca="1" si="2"/>
        <v>0</v>
      </c>
      <c r="F57" s="68">
        <f t="shared" si="3"/>
        <v>0</v>
      </c>
      <c r="G57" s="200">
        <f t="shared" ca="1" si="3"/>
        <v>0</v>
      </c>
      <c r="H57" s="72"/>
    </row>
    <row r="58" spans="1:247" s="60" customFormat="1" ht="15.95" customHeight="1" x14ac:dyDescent="0.3">
      <c r="B58" s="157" t="s">
        <v>242</v>
      </c>
      <c r="C58" s="67">
        <f ca="1">E49</f>
        <v>0.41</v>
      </c>
      <c r="D58" s="68">
        <f t="shared" si="1"/>
        <v>10000</v>
      </c>
      <c r="E58" s="198">
        <f t="shared" ca="1" si="2"/>
        <v>4100</v>
      </c>
      <c r="F58" s="68">
        <f t="shared" si="3"/>
        <v>120000</v>
      </c>
      <c r="G58" s="200">
        <f t="shared" ca="1" si="3"/>
        <v>49200</v>
      </c>
      <c r="H58" s="72"/>
      <c r="I58" s="149"/>
    </row>
    <row r="59" spans="1:247" s="60" customFormat="1" ht="15.95" customHeight="1" x14ac:dyDescent="0.3">
      <c r="A59" s="69" t="s">
        <v>162</v>
      </c>
      <c r="B59" s="1035" t="s">
        <v>416</v>
      </c>
      <c r="C59" s="1036"/>
      <c r="D59" s="1036"/>
      <c r="E59" s="1036"/>
      <c r="F59" s="1036"/>
      <c r="G59" s="440">
        <f ca="1">SUM(E53:E58)</f>
        <v>10291.43</v>
      </c>
      <c r="H59" s="71"/>
    </row>
    <row r="60" spans="1:247" s="60" customFormat="1" ht="15.95" customHeight="1" thickBot="1" x14ac:dyDescent="0.35">
      <c r="A60" s="63"/>
      <c r="B60" s="984" t="s">
        <v>462</v>
      </c>
      <c r="C60" s="985"/>
      <c r="D60" s="985"/>
      <c r="E60" s="985"/>
      <c r="F60" s="986"/>
      <c r="G60" s="441">
        <f ca="1">G59*12</f>
        <v>123497.16</v>
      </c>
      <c r="H60" s="71"/>
      <c r="I60" s="150"/>
      <c r="J60" s="151"/>
    </row>
    <row r="61" spans="1:247" s="60" customFormat="1" ht="15.95" customHeight="1" x14ac:dyDescent="0.3">
      <c r="A61" s="63"/>
      <c r="B61" s="993" t="s">
        <v>452</v>
      </c>
      <c r="C61" s="994"/>
      <c r="D61" s="994"/>
      <c r="E61" s="994"/>
      <c r="F61" s="994"/>
      <c r="G61" s="437">
        <f>'Insumos Diversos'!D136</f>
        <v>0</v>
      </c>
      <c r="H61" s="71"/>
      <c r="I61" s="150"/>
      <c r="J61" s="151"/>
    </row>
    <row r="62" spans="1:247" s="60" customFormat="1" ht="15.95" customHeight="1" thickBot="1" x14ac:dyDescent="0.35">
      <c r="A62" s="63"/>
      <c r="B62" s="989" t="s">
        <v>459</v>
      </c>
      <c r="C62" s="990"/>
      <c r="D62" s="990"/>
      <c r="E62" s="990"/>
      <c r="F62" s="990"/>
      <c r="G62" s="428">
        <f>G61*12</f>
        <v>0</v>
      </c>
      <c r="H62" s="71"/>
      <c r="I62" s="150"/>
      <c r="J62" s="151"/>
    </row>
    <row r="63" spans="1:247" s="60" customFormat="1" ht="15.95" customHeight="1" x14ac:dyDescent="0.3">
      <c r="A63" s="63"/>
      <c r="B63" s="995" t="str">
        <f>'Ajud. de Serv. Diversos_CEARA'!F16</f>
        <v>Ajudante de Serviços Diversos</v>
      </c>
      <c r="C63" s="996"/>
      <c r="D63" s="996"/>
      <c r="E63" s="996"/>
      <c r="F63" s="996"/>
      <c r="G63" s="438">
        <f ca="1">'Ajud. de Serv. Diversos_CEARA'!G140</f>
        <v>4545</v>
      </c>
      <c r="H63" s="71"/>
      <c r="I63" s="150"/>
      <c r="J63" s="151"/>
    </row>
    <row r="64" spans="1:247" s="60" customFormat="1" ht="15.95" customHeight="1" thickBot="1" x14ac:dyDescent="0.35">
      <c r="A64" s="63"/>
      <c r="B64" s="997" t="s">
        <v>463</v>
      </c>
      <c r="C64" s="998"/>
      <c r="D64" s="998"/>
      <c r="E64" s="998"/>
      <c r="F64" s="998"/>
      <c r="G64" s="439">
        <f ca="1">G63*12</f>
        <v>54540</v>
      </c>
      <c r="H64" s="71"/>
      <c r="I64" s="150"/>
      <c r="J64" s="151"/>
    </row>
    <row r="65" spans="1:10" s="60" customFormat="1" ht="15.95" customHeight="1" x14ac:dyDescent="0.3">
      <c r="A65" s="63"/>
      <c r="B65" s="991" t="s">
        <v>456</v>
      </c>
      <c r="C65" s="992"/>
      <c r="D65" s="992"/>
      <c r="E65" s="992"/>
      <c r="F65" s="992"/>
      <c r="G65" s="442">
        <f ca="1">SUM(G61,G59,G63)</f>
        <v>14836.43</v>
      </c>
      <c r="H65" s="71"/>
      <c r="I65" s="150"/>
      <c r="J65" s="151"/>
    </row>
    <row r="66" spans="1:10" s="60" customFormat="1" ht="15.95" customHeight="1" thickBot="1" x14ac:dyDescent="0.35">
      <c r="A66" s="63"/>
      <c r="B66" s="987" t="s">
        <v>457</v>
      </c>
      <c r="C66" s="988"/>
      <c r="D66" s="988"/>
      <c r="E66" s="988"/>
      <c r="F66" s="988"/>
      <c r="G66" s="436">
        <f ca="1">G65*12</f>
        <v>178037.16</v>
      </c>
      <c r="H66" s="71"/>
      <c r="I66" s="150"/>
      <c r="J66" s="151"/>
    </row>
    <row r="67" spans="1:10" s="60" customFormat="1" ht="15.95" customHeight="1" x14ac:dyDescent="0.3">
      <c r="B67" s="199" t="s">
        <v>160</v>
      </c>
      <c r="C67" s="58"/>
      <c r="D67" s="58"/>
      <c r="E67" s="58"/>
      <c r="F67" s="58"/>
      <c r="G67" s="58"/>
      <c r="H67" s="71"/>
    </row>
    <row r="68" spans="1:10" s="60" customFormat="1" ht="15.95" customHeight="1" x14ac:dyDescent="0.3">
      <c r="B68" s="1002" t="s">
        <v>252</v>
      </c>
      <c r="C68" s="1003"/>
      <c r="D68" s="1003"/>
      <c r="E68" s="1003"/>
      <c r="F68" s="1003"/>
      <c r="G68" s="1003"/>
      <c r="H68" s="1004"/>
    </row>
    <row r="69" spans="1:10" s="60" customFormat="1" ht="22.5" customHeight="1" x14ac:dyDescent="0.3">
      <c r="B69" s="1005" t="s">
        <v>415</v>
      </c>
      <c r="C69" s="1006"/>
      <c r="D69" s="1006"/>
      <c r="E69" s="1006"/>
      <c r="F69" s="1006"/>
      <c r="G69" s="1006"/>
      <c r="H69" s="1007"/>
    </row>
    <row r="70" spans="1:10" s="60" customFormat="1" ht="30.75" customHeight="1" x14ac:dyDescent="0.3">
      <c r="B70" s="1008" t="s">
        <v>316</v>
      </c>
      <c r="C70" s="1009"/>
      <c r="D70" s="1009"/>
      <c r="E70" s="1009"/>
      <c r="F70" s="1009"/>
      <c r="G70" s="1009"/>
      <c r="H70" s="1010"/>
    </row>
    <row r="71" spans="1:10" s="60" customFormat="1" ht="15.95" customHeight="1" x14ac:dyDescent="0.3">
      <c r="B71" s="1011" t="s">
        <v>192</v>
      </c>
      <c r="C71" s="1012"/>
      <c r="D71" s="1012"/>
      <c r="E71" s="1012"/>
      <c r="F71" s="1012"/>
      <c r="G71" s="1012"/>
      <c r="H71" s="1013"/>
    </row>
    <row r="72" spans="1:10" s="60" customFormat="1" ht="35.25" customHeight="1" thickBot="1" x14ac:dyDescent="0.35">
      <c r="B72" s="999" t="s">
        <v>213</v>
      </c>
      <c r="C72" s="1000"/>
      <c r="D72" s="1000"/>
      <c r="E72" s="1000"/>
      <c r="F72" s="1000"/>
      <c r="G72" s="1000"/>
      <c r="H72" s="1001"/>
    </row>
    <row r="73" spans="1:10" s="60" customFormat="1" ht="15.95" customHeight="1" x14ac:dyDescent="0.3">
      <c r="A73" s="70"/>
      <c r="B73" s="355"/>
      <c r="C73" s="355"/>
      <c r="D73" s="355"/>
      <c r="E73" s="355"/>
      <c r="F73" s="355"/>
      <c r="G73" s="355"/>
      <c r="H73" s="356"/>
    </row>
    <row r="74" spans="1:10" s="60" customFormat="1" ht="15.95" customHeight="1" x14ac:dyDescent="0.3">
      <c r="A74" s="70"/>
    </row>
    <row r="75" spans="1:10" s="60" customFormat="1" ht="15.95" customHeight="1" x14ac:dyDescent="0.3">
      <c r="A75" s="70"/>
    </row>
    <row r="76" spans="1:10" s="60" customFormat="1" ht="15.95" customHeight="1" x14ac:dyDescent="0.3">
      <c r="A76" s="70"/>
    </row>
    <row r="77" spans="1:10" s="60" customFormat="1" ht="15.95" customHeight="1" x14ac:dyDescent="0.3">
      <c r="A77" s="70"/>
    </row>
    <row r="78" spans="1:10" s="60" customFormat="1" ht="15.95" customHeight="1" x14ac:dyDescent="0.3">
      <c r="A78" s="70"/>
    </row>
    <row r="79" spans="1:10" s="60" customFormat="1" ht="15.95" customHeight="1" x14ac:dyDescent="0.3">
      <c r="A79" s="70"/>
    </row>
    <row r="80" spans="1:10" s="60" customFormat="1" ht="15.95" customHeight="1" x14ac:dyDescent="0.3">
      <c r="A80" s="70"/>
    </row>
    <row r="81" spans="1:8" s="60" customFormat="1" ht="15.95" customHeight="1" x14ac:dyDescent="0.3">
      <c r="A81" s="70"/>
      <c r="B81" s="56"/>
      <c r="C81" s="56"/>
      <c r="D81" s="56"/>
      <c r="E81" s="56"/>
      <c r="F81" s="56"/>
    </row>
    <row r="82" spans="1:8" s="60" customFormat="1" ht="15.95" customHeight="1" x14ac:dyDescent="0.3">
      <c r="B82" s="56"/>
      <c r="C82" s="56"/>
      <c r="D82" s="56"/>
      <c r="E82" s="56"/>
      <c r="F82" s="56"/>
      <c r="G82" s="56"/>
    </row>
    <row r="83" spans="1:8" s="60" customFormat="1" ht="15.95" customHeight="1" x14ac:dyDescent="0.3">
      <c r="B83" s="56"/>
      <c r="C83" s="56"/>
      <c r="D83" s="56"/>
      <c r="E83" s="56"/>
      <c r="F83" s="56"/>
      <c r="G83" s="56"/>
      <c r="H83" s="56"/>
    </row>
    <row r="84" spans="1:8" s="60" customFormat="1" ht="15.95" customHeight="1" x14ac:dyDescent="0.3">
      <c r="A84" s="70"/>
      <c r="B84" s="56"/>
      <c r="C84" s="56"/>
      <c r="D84" s="56"/>
      <c r="E84" s="56"/>
      <c r="F84" s="56"/>
      <c r="G84" s="56"/>
      <c r="H84" s="56"/>
    </row>
    <row r="85" spans="1:8" s="60" customFormat="1" ht="15.95" customHeight="1" x14ac:dyDescent="0.3">
      <c r="A85" s="70"/>
      <c r="B85" s="56"/>
      <c r="C85" s="56"/>
      <c r="D85" s="56"/>
      <c r="E85" s="56"/>
      <c r="F85" s="56"/>
      <c r="G85" s="56"/>
      <c r="H85" s="56"/>
    </row>
    <row r="86" spans="1:8" s="60" customFormat="1" ht="15.95" customHeight="1" x14ac:dyDescent="0.3">
      <c r="B86" s="56"/>
      <c r="C86" s="56"/>
      <c r="D86" s="56"/>
      <c r="E86" s="56"/>
      <c r="F86" s="56"/>
      <c r="G86" s="56"/>
      <c r="H86" s="56"/>
    </row>
    <row r="90" spans="1:8" ht="13.35" customHeight="1" x14ac:dyDescent="0.3"/>
    <row r="110" ht="12.95" customHeight="1" x14ac:dyDescent="0.3"/>
    <row r="111" ht="10.5" customHeight="1" x14ac:dyDescent="0.3"/>
    <row r="122" ht="12" customHeight="1" x14ac:dyDescent="0.3"/>
    <row r="123" ht="12" customHeight="1" x14ac:dyDescent="0.3"/>
    <row r="134" ht="13.5" customHeight="1" x14ac:dyDescent="0.3"/>
    <row r="181" ht="10.5" customHeight="1" x14ac:dyDescent="0.3"/>
    <row r="182" ht="10.5" customHeight="1" x14ac:dyDescent="0.3"/>
  </sheetData>
  <mergeCells count="43">
    <mergeCell ref="B59:F59"/>
    <mergeCell ref="B1:H1"/>
    <mergeCell ref="B2:H2"/>
    <mergeCell ref="B3:H3"/>
    <mergeCell ref="E51:E52"/>
    <mergeCell ref="C49:D49"/>
    <mergeCell ref="E39:E40"/>
    <mergeCell ref="F39:F40"/>
    <mergeCell ref="G39:G40"/>
    <mergeCell ref="H39:H40"/>
    <mergeCell ref="B51:B52"/>
    <mergeCell ref="C51:C52"/>
    <mergeCell ref="D51:D52"/>
    <mergeCell ref="F51:F52"/>
    <mergeCell ref="G51:G52"/>
    <mergeCell ref="C6:H6"/>
    <mergeCell ref="J3:K3"/>
    <mergeCell ref="G8:G12"/>
    <mergeCell ref="B39:B40"/>
    <mergeCell ref="C39:C40"/>
    <mergeCell ref="D39:D40"/>
    <mergeCell ref="B14:E14"/>
    <mergeCell ref="B15:E15"/>
    <mergeCell ref="B17:E17"/>
    <mergeCell ref="C27:D27"/>
    <mergeCell ref="C31:D31"/>
    <mergeCell ref="C34:D34"/>
    <mergeCell ref="F8:F12"/>
    <mergeCell ref="B16:E16"/>
    <mergeCell ref="C37:D37"/>
    <mergeCell ref="B4:H5"/>
    <mergeCell ref="B72:H72"/>
    <mergeCell ref="B68:H68"/>
    <mergeCell ref="B69:H69"/>
    <mergeCell ref="B70:H70"/>
    <mergeCell ref="B71:H71"/>
    <mergeCell ref="B60:F60"/>
    <mergeCell ref="B66:F66"/>
    <mergeCell ref="B62:F62"/>
    <mergeCell ref="B65:F65"/>
    <mergeCell ref="B61:F61"/>
    <mergeCell ref="B63:F63"/>
    <mergeCell ref="B64:F64"/>
  </mergeCells>
  <dataValidations disablePrompts="1" count="1">
    <dataValidation type="custom" allowBlank="1" showErrorMessage="1" errorTitle="Erro" error="Não é permitido escrever nesta célula" sqref="IP96 SL96 ACH96 AMD96 AVZ96 BFV96 BPR96 BZN96 CJJ96 CTF96 DDB96 DMX96 DWT96 EGP96 EQL96 FAH96 FKD96 FTZ96 GDV96 GNR96 GXN96 HHJ96 HRF96 IBB96 IKX96 IUT96 JEP96 JOL96 JYH96 KID96 KRZ96 LBV96 LLR96 LVN96 MFJ96 MPF96 MZB96 NIX96 NST96 OCP96 OML96 OWH96 PGD96 PPZ96 PZV96 QJR96 QTN96 RDJ96 RNF96 RXB96 SGX96 SQT96 TAP96 TKL96 TUH96 UED96 UNZ96 UXV96 VHR96 VRN96 WBJ96 WLF96 WVB96 IP65632 SL65632 ACH65632 AMD65632 AVZ65632 BFV65632 BPR65632 BZN65632 CJJ65632 CTF65632 DDB65632 DMX65632 DWT65632 EGP65632 EQL65632 FAH65632 FKD65632 FTZ65632 GDV65632 GNR65632 GXN65632 HHJ65632 HRF65632 IBB65632 IKX65632 IUT65632 JEP65632 JOL65632 JYH65632 KID65632 KRZ65632 LBV65632 LLR65632 LVN65632 MFJ65632 MPF65632 MZB65632 NIX65632 NST65632 OCP65632 OML65632 OWH65632 PGD65632 PPZ65632 PZV65632 QJR65632 QTN65632 RDJ65632 RNF65632 RXB65632 SGX65632 SQT65632 TAP65632 TKL65632 TUH65632 UED65632 UNZ65632 UXV65632 VHR65632 VRN65632 WBJ65632 WLF65632 WVB65632 IP131168 SL131168 ACH131168 AMD131168 AVZ131168 BFV131168 BPR131168 BZN131168 CJJ131168 CTF131168 DDB131168 DMX131168 DWT131168 EGP131168 EQL131168 FAH131168 FKD131168 FTZ131168 GDV131168 GNR131168 GXN131168 HHJ131168 HRF131168 IBB131168 IKX131168 IUT131168 JEP131168 JOL131168 JYH131168 KID131168 KRZ131168 LBV131168 LLR131168 LVN131168 MFJ131168 MPF131168 MZB131168 NIX131168 NST131168 OCP131168 OML131168 OWH131168 PGD131168 PPZ131168 PZV131168 QJR131168 QTN131168 RDJ131168 RNF131168 RXB131168 SGX131168 SQT131168 TAP131168 TKL131168 TUH131168 UED131168 UNZ131168 UXV131168 VHR131168 VRN131168 WBJ131168 WLF131168 WVB131168 IP196704 SL196704 ACH196704 AMD196704 AVZ196704 BFV196704 BPR196704 BZN196704 CJJ196704 CTF196704 DDB196704 DMX196704 DWT196704 EGP196704 EQL196704 FAH196704 FKD196704 FTZ196704 GDV196704 GNR196704 GXN196704 HHJ196704 HRF196704 IBB196704 IKX196704 IUT196704 JEP196704 JOL196704 JYH196704 KID196704 KRZ196704 LBV196704 LLR196704 LVN196704 MFJ196704 MPF196704 MZB196704 NIX196704 NST196704 OCP196704 OML196704 OWH196704 PGD196704 PPZ196704 PZV196704 QJR196704 QTN196704 RDJ196704 RNF196704 RXB196704 SGX196704 SQT196704 TAP196704 TKL196704 TUH196704 UED196704 UNZ196704 UXV196704 VHR196704 VRN196704 WBJ196704 WLF196704 WVB196704 IP262240 SL262240 ACH262240 AMD262240 AVZ262240 BFV262240 BPR262240 BZN262240 CJJ262240 CTF262240 DDB262240 DMX262240 DWT262240 EGP262240 EQL262240 FAH262240 FKD262240 FTZ262240 GDV262240 GNR262240 GXN262240 HHJ262240 HRF262240 IBB262240 IKX262240 IUT262240 JEP262240 JOL262240 JYH262240 KID262240 KRZ262240 LBV262240 LLR262240 LVN262240 MFJ262240 MPF262240 MZB262240 NIX262240 NST262240 OCP262240 OML262240 OWH262240 PGD262240 PPZ262240 PZV262240 QJR262240 QTN262240 RDJ262240 RNF262240 RXB262240 SGX262240 SQT262240 TAP262240 TKL262240 TUH262240 UED262240 UNZ262240 UXV262240 VHR262240 VRN262240 WBJ262240 WLF262240 WVB262240 IP327776 SL327776 ACH327776 AMD327776 AVZ327776 BFV327776 BPR327776 BZN327776 CJJ327776 CTF327776 DDB327776 DMX327776 DWT327776 EGP327776 EQL327776 FAH327776 FKD327776 FTZ327776 GDV327776 GNR327776 GXN327776 HHJ327776 HRF327776 IBB327776 IKX327776 IUT327776 JEP327776 JOL327776 JYH327776 KID327776 KRZ327776 LBV327776 LLR327776 LVN327776 MFJ327776 MPF327776 MZB327776 NIX327776 NST327776 OCP327776 OML327776 OWH327776 PGD327776 PPZ327776 PZV327776 QJR327776 QTN327776 RDJ327776 RNF327776 RXB327776 SGX327776 SQT327776 TAP327776 TKL327776 TUH327776 UED327776 UNZ327776 UXV327776 VHR327776 VRN327776 WBJ327776 WLF327776 WVB327776 IP393312 SL393312 ACH393312 AMD393312 AVZ393312 BFV393312 BPR393312 BZN393312 CJJ393312 CTF393312 DDB393312 DMX393312 DWT393312 EGP393312 EQL393312 FAH393312 FKD393312 FTZ393312 GDV393312 GNR393312 GXN393312 HHJ393312 HRF393312 IBB393312 IKX393312 IUT393312 JEP393312 JOL393312 JYH393312 KID393312 KRZ393312 LBV393312 LLR393312 LVN393312 MFJ393312 MPF393312 MZB393312 NIX393312 NST393312 OCP393312 OML393312 OWH393312 PGD393312 PPZ393312 PZV393312 QJR393312 QTN393312 RDJ393312 RNF393312 RXB393312 SGX393312 SQT393312 TAP393312 TKL393312 TUH393312 UED393312 UNZ393312 UXV393312 VHR393312 VRN393312 WBJ393312 WLF393312 WVB393312 IP458848 SL458848 ACH458848 AMD458848 AVZ458848 BFV458848 BPR458848 BZN458848 CJJ458848 CTF458848 DDB458848 DMX458848 DWT458848 EGP458848 EQL458848 FAH458848 FKD458848 FTZ458848 GDV458848 GNR458848 GXN458848 HHJ458848 HRF458848 IBB458848 IKX458848 IUT458848 JEP458848 JOL458848 JYH458848 KID458848 KRZ458848 LBV458848 LLR458848 LVN458848 MFJ458848 MPF458848 MZB458848 NIX458848 NST458848 OCP458848 OML458848 OWH458848 PGD458848 PPZ458848 PZV458848 QJR458848 QTN458848 RDJ458848 RNF458848 RXB458848 SGX458848 SQT458848 TAP458848 TKL458848 TUH458848 UED458848 UNZ458848 UXV458848 VHR458848 VRN458848 WBJ458848 WLF458848 WVB458848 IP524384 SL524384 ACH524384 AMD524384 AVZ524384 BFV524384 BPR524384 BZN524384 CJJ524384 CTF524384 DDB524384 DMX524384 DWT524384 EGP524384 EQL524384 FAH524384 FKD524384 FTZ524384 GDV524384 GNR524384 GXN524384 HHJ524384 HRF524384 IBB524384 IKX524384 IUT524384 JEP524384 JOL524384 JYH524384 KID524384 KRZ524384 LBV524384 LLR524384 LVN524384 MFJ524384 MPF524384 MZB524384 NIX524384 NST524384 OCP524384 OML524384 OWH524384 PGD524384 PPZ524384 PZV524384 QJR524384 QTN524384 RDJ524384 RNF524384 RXB524384 SGX524384 SQT524384 TAP524384 TKL524384 TUH524384 UED524384 UNZ524384 UXV524384 VHR524384 VRN524384 WBJ524384 WLF524384 WVB524384 IP589920 SL589920 ACH589920 AMD589920 AVZ589920 BFV589920 BPR589920 BZN589920 CJJ589920 CTF589920 DDB589920 DMX589920 DWT589920 EGP589920 EQL589920 FAH589920 FKD589920 FTZ589920 GDV589920 GNR589920 GXN589920 HHJ589920 HRF589920 IBB589920 IKX589920 IUT589920 JEP589920 JOL589920 JYH589920 KID589920 KRZ589920 LBV589920 LLR589920 LVN589920 MFJ589920 MPF589920 MZB589920 NIX589920 NST589920 OCP589920 OML589920 OWH589920 PGD589920 PPZ589920 PZV589920 QJR589920 QTN589920 RDJ589920 RNF589920 RXB589920 SGX589920 SQT589920 TAP589920 TKL589920 TUH589920 UED589920 UNZ589920 UXV589920 VHR589920 VRN589920 WBJ589920 WLF589920 WVB589920 IP655456 SL655456 ACH655456 AMD655456 AVZ655456 BFV655456 BPR655456 BZN655456 CJJ655456 CTF655456 DDB655456 DMX655456 DWT655456 EGP655456 EQL655456 FAH655456 FKD655456 FTZ655456 GDV655456 GNR655456 GXN655456 HHJ655456 HRF655456 IBB655456 IKX655456 IUT655456 JEP655456 JOL655456 JYH655456 KID655456 KRZ655456 LBV655456 LLR655456 LVN655456 MFJ655456 MPF655456 MZB655456 NIX655456 NST655456 OCP655456 OML655456 OWH655456 PGD655456 PPZ655456 PZV655456 QJR655456 QTN655456 RDJ655456 RNF655456 RXB655456 SGX655456 SQT655456 TAP655456 TKL655456 TUH655456 UED655456 UNZ655456 UXV655456 VHR655456 VRN655456 WBJ655456 WLF655456 WVB655456 IP720992 SL720992 ACH720992 AMD720992 AVZ720992 BFV720992 BPR720992 BZN720992 CJJ720992 CTF720992 DDB720992 DMX720992 DWT720992 EGP720992 EQL720992 FAH720992 FKD720992 FTZ720992 GDV720992 GNR720992 GXN720992 HHJ720992 HRF720992 IBB720992 IKX720992 IUT720992 JEP720992 JOL720992 JYH720992 KID720992 KRZ720992 LBV720992 LLR720992 LVN720992 MFJ720992 MPF720992 MZB720992 NIX720992 NST720992 OCP720992 OML720992 OWH720992 PGD720992 PPZ720992 PZV720992 QJR720992 QTN720992 RDJ720992 RNF720992 RXB720992 SGX720992 SQT720992 TAP720992 TKL720992 TUH720992 UED720992 UNZ720992 UXV720992 VHR720992 VRN720992 WBJ720992 WLF720992 WVB720992 IP786528 SL786528 ACH786528 AMD786528 AVZ786528 BFV786528 BPR786528 BZN786528 CJJ786528 CTF786528 DDB786528 DMX786528 DWT786528 EGP786528 EQL786528 FAH786528 FKD786528 FTZ786528 GDV786528 GNR786528 GXN786528 HHJ786528 HRF786528 IBB786528 IKX786528 IUT786528 JEP786528 JOL786528 JYH786528 KID786528 KRZ786528 LBV786528 LLR786528 LVN786528 MFJ786528 MPF786528 MZB786528 NIX786528 NST786528 OCP786528 OML786528 OWH786528 PGD786528 PPZ786528 PZV786528 QJR786528 QTN786528 RDJ786528 RNF786528 RXB786528 SGX786528 SQT786528 TAP786528 TKL786528 TUH786528 UED786528 UNZ786528 UXV786528 VHR786528 VRN786528 WBJ786528 WLF786528 WVB786528 IP852064 SL852064 ACH852064 AMD852064 AVZ852064 BFV852064 BPR852064 BZN852064 CJJ852064 CTF852064 DDB852064 DMX852064 DWT852064 EGP852064 EQL852064 FAH852064 FKD852064 FTZ852064 GDV852064 GNR852064 GXN852064 HHJ852064 HRF852064 IBB852064 IKX852064 IUT852064 JEP852064 JOL852064 JYH852064 KID852064 KRZ852064 LBV852064 LLR852064 LVN852064 MFJ852064 MPF852064 MZB852064 NIX852064 NST852064 OCP852064 OML852064 OWH852064 PGD852064 PPZ852064 PZV852064 QJR852064 QTN852064 RDJ852064 RNF852064 RXB852064 SGX852064 SQT852064 TAP852064 TKL852064 TUH852064 UED852064 UNZ852064 UXV852064 VHR852064 VRN852064 WBJ852064 WLF852064 WVB852064 IP917600 SL917600 ACH917600 AMD917600 AVZ917600 BFV917600 BPR917600 BZN917600 CJJ917600 CTF917600 DDB917600 DMX917600 DWT917600 EGP917600 EQL917600 FAH917600 FKD917600 FTZ917600 GDV917600 GNR917600 GXN917600 HHJ917600 HRF917600 IBB917600 IKX917600 IUT917600 JEP917600 JOL917600 JYH917600 KID917600 KRZ917600 LBV917600 LLR917600 LVN917600 MFJ917600 MPF917600 MZB917600 NIX917600 NST917600 OCP917600 OML917600 OWH917600 PGD917600 PPZ917600 PZV917600 QJR917600 QTN917600 RDJ917600 RNF917600 RXB917600 SGX917600 SQT917600 TAP917600 TKL917600 TUH917600 UED917600 UNZ917600 UXV917600 VHR917600 VRN917600 WBJ917600 WLF917600 WVB917600 IP983136 SL983136 ACH983136 AMD983136 AVZ983136 BFV983136 BPR983136 BZN983136 CJJ983136 CTF983136 DDB983136 DMX983136 DWT983136 EGP983136 EQL983136 FAH983136 FKD983136 FTZ983136 GDV983136 GNR983136 GXN983136 HHJ983136 HRF983136 IBB983136 IKX983136 IUT983136 JEP983136 JOL983136 JYH983136 KID983136 KRZ983136 LBV983136 LLR983136 LVN983136 MFJ983136 MPF983136 MZB983136 NIX983136 NST983136 OCP983136 OML983136 OWH983136 PGD983136 PPZ983136 PZV983136 QJR983136 QTN983136 RDJ983136 RNF983136 RXB983136 SGX983136 SQT983136 TAP983136 TKL983136 TUH983136 UED983136 UNZ983136 UXV983136 VHR983136 VRN983136 WBJ983136 WLF983136 WVB983136">
      <formula1>"&lt;""""&gt; "</formula1>
      <formula2>0</formula2>
    </dataValidation>
  </dataValidations>
  <pageMargins left="0.98425196850393704" right="0.39370078740157483" top="0.78740157480314965" bottom="0.98425196850393704" header="0.59055118110236227" footer="0.78740157480314965"/>
  <pageSetup paperSize="9" scale="54" firstPageNumber="0" orientation="portrait" r:id="rId1"/>
  <headerFooter alignWithMargins="0">
    <oddHeader>&amp;RPlanilha MODELO LICITANTE</oddHeader>
    <oddFooter>&amp;C&amp;"Arial Narrow,Normal"&amp;A - Página &amp;P</oddFooter>
  </headerFooter>
  <ignoredErrors>
    <ignoredError sqref="G61 G63:G65" formula="1"/>
  </ignoredErrors>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12"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417</v>
      </c>
      <c r="G7" s="863"/>
    </row>
    <row r="8" spans="1:8" ht="19.5" customHeight="1" x14ac:dyDescent="0.2">
      <c r="A8" s="867" t="s">
        <v>146</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v>2025</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175</v>
      </c>
      <c r="G16" s="844"/>
      <c r="H16" s="3"/>
    </row>
    <row r="17" spans="1:8" ht="14.1" customHeight="1" x14ac:dyDescent="0.2">
      <c r="A17" s="827" t="s">
        <v>21</v>
      </c>
      <c r="B17" s="828"/>
      <c r="C17" s="828"/>
      <c r="D17" s="828"/>
      <c r="E17" s="829"/>
      <c r="F17" s="843" t="s">
        <v>148</v>
      </c>
      <c r="G17" s="844"/>
      <c r="H17" s="3"/>
    </row>
    <row r="18" spans="1:8" ht="14.1" customHeight="1" x14ac:dyDescent="0.2">
      <c r="A18" s="827" t="s">
        <v>1</v>
      </c>
      <c r="B18" s="828"/>
      <c r="C18" s="828"/>
      <c r="D18" s="828"/>
      <c r="E18" s="829"/>
      <c r="F18" s="837">
        <v>1717.2</v>
      </c>
      <c r="G18" s="838"/>
    </row>
    <row r="19" spans="1:8" ht="14.1" customHeight="1" x14ac:dyDescent="0.2">
      <c r="A19" s="832" t="s">
        <v>8</v>
      </c>
      <c r="B19" s="833"/>
      <c r="C19" s="833"/>
      <c r="D19" s="833"/>
      <c r="E19" s="834"/>
      <c r="F19" s="839">
        <v>45658</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9</v>
      </c>
      <c r="G22" s="836"/>
    </row>
    <row r="23" spans="1:8" ht="12.75" customHeight="1" x14ac:dyDescent="0.2">
      <c r="A23" s="832" t="s">
        <v>25</v>
      </c>
      <c r="B23" s="833"/>
      <c r="C23" s="833"/>
      <c r="D23" s="833"/>
      <c r="E23" s="834"/>
      <c r="F23" s="845" t="s">
        <v>214</v>
      </c>
      <c r="G23" s="846"/>
    </row>
    <row r="24" spans="1:8" ht="25.5" customHeight="1" x14ac:dyDescent="0.2">
      <c r="A24" s="873" t="s">
        <v>436</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49" t="s">
        <v>27</v>
      </c>
      <c r="G26" s="88" t="s">
        <v>3</v>
      </c>
    </row>
    <row r="27" spans="1:8" s="34" customFormat="1" x14ac:dyDescent="0.2">
      <c r="A27" s="89" t="s">
        <v>28</v>
      </c>
      <c r="B27" s="822" t="s">
        <v>153</v>
      </c>
      <c r="C27" s="822"/>
      <c r="D27" s="822"/>
      <c r="E27" s="822"/>
      <c r="F27" s="90">
        <v>1</v>
      </c>
      <c r="G27" s="91">
        <f>F18*F27</f>
        <v>1717.2</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0.4</v>
      </c>
      <c r="G29" s="91">
        <f>ROUND(F15*F29,2)</f>
        <v>607.20000000000005</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2324.4</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193.62</v>
      </c>
      <c r="H37" s="53"/>
    </row>
    <row r="38" spans="1:8" x14ac:dyDescent="0.2">
      <c r="A38" s="96" t="s">
        <v>29</v>
      </c>
      <c r="B38" s="804" t="s">
        <v>157</v>
      </c>
      <c r="C38" s="805"/>
      <c r="D38" s="805"/>
      <c r="E38" s="817"/>
      <c r="F38" s="97">
        <f>ROUND((1/11)+(1/11)/3, 3)</f>
        <v>0.121</v>
      </c>
      <c r="G38" s="8">
        <f>ROUND(G$34*F38,2)</f>
        <v>281.25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86" t="s">
        <v>41</v>
      </c>
      <c r="B41" s="787"/>
      <c r="C41" s="787"/>
      <c r="D41" s="787"/>
      <c r="E41" s="785"/>
      <c r="F41" s="41">
        <f>ROUND(SUM(F39:F40),4)</f>
        <v>0.27339999999999998</v>
      </c>
      <c r="G41" s="100">
        <f>SUM(G37:G40)</f>
        <v>635.49</v>
      </c>
      <c r="H41" s="4">
        <f>ROUND(G34*F41,2)</f>
        <v>635.49</v>
      </c>
    </row>
    <row r="42" spans="1:8" x14ac:dyDescent="0.2">
      <c r="A42" s="779" t="s">
        <v>118</v>
      </c>
      <c r="B42" s="780"/>
      <c r="C42" s="780"/>
      <c r="D42" s="780"/>
      <c r="E42" s="780"/>
      <c r="F42" s="780"/>
      <c r="G42" s="781"/>
      <c r="H42" s="4">
        <f>SUM(G41,G34)</f>
        <v>2959.89</v>
      </c>
    </row>
    <row r="43" spans="1:8" x14ac:dyDescent="0.2">
      <c r="A43" s="42" t="s">
        <v>28</v>
      </c>
      <c r="B43" s="782" t="s">
        <v>42</v>
      </c>
      <c r="C43" s="783"/>
      <c r="D43" s="783"/>
      <c r="E43" s="819"/>
      <c r="F43" s="43">
        <v>0.2</v>
      </c>
      <c r="G43" s="22">
        <f>ROUND((G$34)*F43,2)</f>
        <v>464.88</v>
      </c>
      <c r="H43" s="4"/>
    </row>
    <row r="44" spans="1:8" x14ac:dyDescent="0.2">
      <c r="A44" s="36" t="s">
        <v>29</v>
      </c>
      <c r="B44" s="802" t="s">
        <v>43</v>
      </c>
      <c r="C44" s="803"/>
      <c r="D44" s="803"/>
      <c r="E44" s="816"/>
      <c r="F44" s="94">
        <v>2.5000000000000001E-2</v>
      </c>
      <c r="G44" s="101">
        <f>ROUND((G$34)*F44,2)</f>
        <v>58.11</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34.869999999999997</v>
      </c>
      <c r="H46" s="4"/>
    </row>
    <row r="47" spans="1:8" x14ac:dyDescent="0.2">
      <c r="A47" s="36" t="s">
        <v>32</v>
      </c>
      <c r="B47" s="802" t="s">
        <v>46</v>
      </c>
      <c r="C47" s="803"/>
      <c r="D47" s="803"/>
      <c r="E47" s="816"/>
      <c r="F47" s="94">
        <v>0.01</v>
      </c>
      <c r="G47" s="101">
        <f t="shared" si="0"/>
        <v>23.24</v>
      </c>
      <c r="H47" s="4"/>
    </row>
    <row r="48" spans="1:8" x14ac:dyDescent="0.2">
      <c r="A48" s="36" t="s">
        <v>34</v>
      </c>
      <c r="B48" s="802" t="s">
        <v>47</v>
      </c>
      <c r="C48" s="803"/>
      <c r="D48" s="803"/>
      <c r="E48" s="816"/>
      <c r="F48" s="94">
        <v>6.0000000000000001E-3</v>
      </c>
      <c r="G48" s="101">
        <f t="shared" si="0"/>
        <v>13.95</v>
      </c>
      <c r="H48" s="4"/>
    </row>
    <row r="49" spans="1:8" x14ac:dyDescent="0.2">
      <c r="A49" s="36" t="s">
        <v>48</v>
      </c>
      <c r="B49" s="802" t="s">
        <v>49</v>
      </c>
      <c r="C49" s="803"/>
      <c r="D49" s="803"/>
      <c r="E49" s="816"/>
      <c r="F49" s="94">
        <v>2E-3</v>
      </c>
      <c r="G49" s="101">
        <f t="shared" si="0"/>
        <v>4.6500000000000004</v>
      </c>
      <c r="H49" s="4"/>
    </row>
    <row r="50" spans="1:8" x14ac:dyDescent="0.2">
      <c r="A50" s="96" t="s">
        <v>50</v>
      </c>
      <c r="B50" s="804" t="s">
        <v>51</v>
      </c>
      <c r="C50" s="805"/>
      <c r="D50" s="805"/>
      <c r="E50" s="817"/>
      <c r="F50" s="97">
        <v>0.08</v>
      </c>
      <c r="G50" s="101">
        <f t="shared" si="0"/>
        <v>185.95</v>
      </c>
      <c r="H50" s="4"/>
    </row>
    <row r="51" spans="1:8" x14ac:dyDescent="0.2">
      <c r="A51" s="786" t="s">
        <v>52</v>
      </c>
      <c r="B51" s="787"/>
      <c r="C51" s="787"/>
      <c r="D51" s="787"/>
      <c r="E51" s="785"/>
      <c r="F51" s="41">
        <f>SUM(F43:F50)</f>
        <v>0.33800000000000002</v>
      </c>
      <c r="G51" s="100">
        <f>SUM(G43:G50)</f>
        <v>785.65</v>
      </c>
      <c r="H51" s="4">
        <f>ROUND(G34*F51,2)</f>
        <v>785.65</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20.76-1.39</f>
        <v>19.37</v>
      </c>
      <c r="F54" s="103">
        <v>26</v>
      </c>
      <c r="G54" s="91">
        <f>ROUND((E54*F54),2)</f>
        <v>503.62</v>
      </c>
      <c r="H54" s="35"/>
    </row>
    <row r="55" spans="1:8" s="34" customFormat="1" x14ac:dyDescent="0.2">
      <c r="A55" s="36" t="s">
        <v>30</v>
      </c>
      <c r="B55" s="808" t="s">
        <v>58</v>
      </c>
      <c r="C55" s="809"/>
      <c r="D55" s="809"/>
      <c r="E55" s="102">
        <v>144.68</v>
      </c>
      <c r="F55" s="103">
        <v>1</v>
      </c>
      <c r="G55" s="91">
        <f>ROUND((E55*F55),2)</f>
        <v>144.68</v>
      </c>
      <c r="H55" s="35"/>
    </row>
    <row r="56" spans="1:8" s="34" customFormat="1" x14ac:dyDescent="0.2">
      <c r="A56" s="36" t="s">
        <v>31</v>
      </c>
      <c r="B56" s="808" t="s">
        <v>149</v>
      </c>
      <c r="C56" s="809"/>
      <c r="D56" s="809"/>
      <c r="E56" s="102">
        <v>35.33</v>
      </c>
      <c r="F56" s="103">
        <v>1</v>
      </c>
      <c r="G56" s="91">
        <f>ROUND((E56*F56),2)</f>
        <v>35.33</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150</v>
      </c>
      <c r="C58" s="809"/>
      <c r="D58" s="809"/>
      <c r="E58" s="102">
        <f>20.76</f>
        <v>20.76</v>
      </c>
      <c r="F58" s="103">
        <v>1</v>
      </c>
      <c r="G58" s="91">
        <f>ROUND((E58*F58)/12,2)</f>
        <v>1.73</v>
      </c>
      <c r="H58" s="35"/>
    </row>
    <row r="59" spans="1:8" s="34" customFormat="1" x14ac:dyDescent="0.2">
      <c r="A59" s="36" t="s">
        <v>48</v>
      </c>
      <c r="B59" s="814" t="s">
        <v>180</v>
      </c>
      <c r="C59" s="815"/>
      <c r="D59" s="815"/>
      <c r="E59" s="102">
        <f>15.96</f>
        <v>15.96</v>
      </c>
      <c r="F59" s="104">
        <v>1</v>
      </c>
      <c r="G59" s="105">
        <f>ROUND((E59*F59),2)</f>
        <v>15.96</v>
      </c>
      <c r="H59" s="35"/>
    </row>
    <row r="60" spans="1:8" s="34" customFormat="1" x14ac:dyDescent="0.2">
      <c r="A60" s="36" t="s">
        <v>50</v>
      </c>
      <c r="B60" s="808" t="s">
        <v>253</v>
      </c>
      <c r="C60" s="809"/>
      <c r="D60" s="809"/>
      <c r="E60" s="102">
        <v>300</v>
      </c>
      <c r="F60" s="103">
        <v>1</v>
      </c>
      <c r="G60" s="91">
        <f>ROUND((E60*F60),2)</f>
        <v>300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1001.32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635.49</v>
      </c>
      <c r="H65" s="4"/>
    </row>
    <row r="66" spans="1:8" x14ac:dyDescent="0.2">
      <c r="A66" s="108" t="s">
        <v>64</v>
      </c>
      <c r="B66" s="749" t="s">
        <v>128</v>
      </c>
      <c r="C66" s="750"/>
      <c r="D66" s="750"/>
      <c r="E66" s="750"/>
      <c r="F66" s="18">
        <f>F51</f>
        <v>0.33800000000000002</v>
      </c>
      <c r="G66" s="109">
        <f>G51</f>
        <v>785.65</v>
      </c>
      <c r="H66" s="4"/>
    </row>
    <row r="67" spans="1:8" x14ac:dyDescent="0.2">
      <c r="A67" s="108" t="s">
        <v>65</v>
      </c>
      <c r="B67" s="749" t="s">
        <v>66</v>
      </c>
      <c r="C67" s="750"/>
      <c r="D67" s="750"/>
      <c r="E67" s="750"/>
      <c r="F67" s="751"/>
      <c r="G67" s="109">
        <f>G63</f>
        <v>1001.32</v>
      </c>
      <c r="H67" s="4"/>
    </row>
    <row r="68" spans="1:8" x14ac:dyDescent="0.2">
      <c r="A68" s="758" t="s">
        <v>67</v>
      </c>
      <c r="B68" s="759"/>
      <c r="C68" s="759"/>
      <c r="D68" s="759"/>
      <c r="E68" s="759"/>
      <c r="F68" s="760"/>
      <c r="G68" s="93">
        <f>SUM(G65:G67)</f>
        <v>2422.46</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EPI''s'!G17</f>
        <v>0</v>
      </c>
      <c r="F108" s="24">
        <v>1</v>
      </c>
      <c r="G108" s="91">
        <f>ROUND(SUM(C108:E108),2)*F108</f>
        <v>0</v>
      </c>
      <c r="H108" s="4"/>
    </row>
    <row r="109" spans="1:8" s="34" customFormat="1" x14ac:dyDescent="0.2">
      <c r="A109" s="36" t="s">
        <v>29</v>
      </c>
      <c r="B109" s="790" t="str">
        <f>'Uniformes e EPI''s'!A19</f>
        <v>EPI's</v>
      </c>
      <c r="C109" s="742"/>
      <c r="D109" s="742"/>
      <c r="E109" s="44">
        <f>'Uniformes e EPI''s'!F39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f>ROUND((E114*F114)/12,2)</f>
        <v>0</v>
      </c>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96.87</v>
      </c>
      <c r="H124" s="4"/>
    </row>
    <row r="125" spans="1:8" x14ac:dyDescent="0.2">
      <c r="A125" s="499" t="s">
        <v>158</v>
      </c>
      <c r="B125" s="741" t="s">
        <v>59</v>
      </c>
      <c r="C125" s="742"/>
      <c r="D125" s="742"/>
      <c r="E125" s="742"/>
      <c r="F125" s="110">
        <v>0</v>
      </c>
      <c r="G125" s="95" t="s">
        <v>489</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96.87</v>
      </c>
      <c r="H127" s="4">
        <f ca="1">ROUND(G139*F127,2)</f>
        <v>96.87</v>
      </c>
    </row>
    <row r="128" spans="1:8" x14ac:dyDescent="0.2">
      <c r="A128" s="758" t="s">
        <v>104</v>
      </c>
      <c r="B128" s="759"/>
      <c r="C128" s="759"/>
      <c r="D128" s="759"/>
      <c r="E128" s="759"/>
      <c r="F128" s="23">
        <f>SUM(F119,F120,F127)</f>
        <v>0.02</v>
      </c>
      <c r="G128" s="113">
        <f ca="1">SUM(G119:G126)</f>
        <v>96.87</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2324.4</v>
      </c>
      <c r="H130" s="4"/>
    </row>
    <row r="131" spans="1:8" x14ac:dyDescent="0.2">
      <c r="A131" s="108" t="s">
        <v>29</v>
      </c>
      <c r="B131" s="749" t="s">
        <v>107</v>
      </c>
      <c r="C131" s="750"/>
      <c r="D131" s="750"/>
      <c r="E131" s="750"/>
      <c r="F131" s="751"/>
      <c r="G131" s="109">
        <f>G68</f>
        <v>2422.46</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4746.8599999999997</v>
      </c>
      <c r="H135" s="4"/>
    </row>
    <row r="136" spans="1:8" x14ac:dyDescent="0.2">
      <c r="A136" s="108" t="s">
        <v>34</v>
      </c>
      <c r="B136" s="755" t="s">
        <v>112</v>
      </c>
      <c r="C136" s="756"/>
      <c r="D136" s="756"/>
      <c r="E136" s="756"/>
      <c r="F136" s="757"/>
      <c r="G136" s="109">
        <f ca="1">G128</f>
        <v>96.87</v>
      </c>
      <c r="H136" s="4"/>
    </row>
    <row r="137" spans="1:8" x14ac:dyDescent="0.2">
      <c r="A137" s="758" t="s">
        <v>113</v>
      </c>
      <c r="B137" s="759"/>
      <c r="C137" s="759"/>
      <c r="D137" s="759"/>
      <c r="E137" s="759"/>
      <c r="F137" s="760"/>
      <c r="G137" s="93">
        <f ca="1">SUM(G135:G136)</f>
        <v>4843.7299999999996</v>
      </c>
      <c r="H137" s="4">
        <f ca="1">SUM(G130:G136)-G135</f>
        <v>4843.7299999999996</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4843.7299999999996</v>
      </c>
      <c r="H139" s="4"/>
    </row>
    <row r="140" spans="1:8" x14ac:dyDescent="0.2">
      <c r="A140" s="118"/>
      <c r="B140" s="607" t="s">
        <v>115</v>
      </c>
      <c r="C140" s="607"/>
      <c r="D140" s="607"/>
      <c r="E140" s="607"/>
      <c r="F140" s="608">
        <f>F21</f>
        <v>1</v>
      </c>
      <c r="G140" s="609">
        <f ca="1">G139*F140</f>
        <v>4843.7299999999996</v>
      </c>
      <c r="H140" s="4"/>
    </row>
    <row r="141" spans="1:8" x14ac:dyDescent="0.2">
      <c r="F141" s="348"/>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6"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417</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t="s">
        <v>490</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216</v>
      </c>
      <c r="G16" s="844"/>
      <c r="H16" s="3"/>
    </row>
    <row r="17" spans="1:8" ht="14.1" customHeight="1" x14ac:dyDescent="0.2">
      <c r="A17" s="827" t="s">
        <v>21</v>
      </c>
      <c r="B17" s="828"/>
      <c r="C17" s="828"/>
      <c r="D17" s="828"/>
      <c r="E17" s="829"/>
      <c r="F17" s="843" t="s">
        <v>218</v>
      </c>
      <c r="G17" s="844"/>
      <c r="H17" s="3"/>
    </row>
    <row r="18" spans="1:8" ht="14.1" customHeight="1" x14ac:dyDescent="0.2">
      <c r="A18" s="827" t="s">
        <v>1</v>
      </c>
      <c r="B18" s="828"/>
      <c r="C18" s="828"/>
      <c r="D18" s="828"/>
      <c r="E18" s="829"/>
      <c r="F18" s="837">
        <v>1732.39</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5.5" customHeight="1" x14ac:dyDescent="0.2">
      <c r="A24" s="873" t="s">
        <v>433</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49" t="s">
        <v>27</v>
      </c>
      <c r="G26" s="88" t="s">
        <v>3</v>
      </c>
    </row>
    <row r="27" spans="1:8" s="34" customFormat="1" x14ac:dyDescent="0.2">
      <c r="A27" s="89" t="s">
        <v>28</v>
      </c>
      <c r="B27" s="822" t="s">
        <v>153</v>
      </c>
      <c r="C27" s="822"/>
      <c r="D27" s="822"/>
      <c r="E27" s="822"/>
      <c r="F27" s="90">
        <v>1</v>
      </c>
      <c r="G27" s="91">
        <f>F18*F27</f>
        <v>1732.39</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2035.99</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169.6</v>
      </c>
      <c r="H37" s="53"/>
    </row>
    <row r="38" spans="1:8" x14ac:dyDescent="0.2">
      <c r="A38" s="96" t="s">
        <v>29</v>
      </c>
      <c r="B38" s="804" t="s">
        <v>157</v>
      </c>
      <c r="C38" s="805"/>
      <c r="D38" s="805"/>
      <c r="E38" s="817"/>
      <c r="F38" s="97">
        <f>ROUND((1/11)+(1/11)/3, 3)</f>
        <v>0.121</v>
      </c>
      <c r="G38" s="8">
        <f>ROUND(G$34*F38,2)</f>
        <v>246.35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86" t="s">
        <v>41</v>
      </c>
      <c r="B41" s="787"/>
      <c r="C41" s="787"/>
      <c r="D41" s="787"/>
      <c r="E41" s="785"/>
      <c r="F41" s="41">
        <f>ROUND(SUM(F39:F40),4)</f>
        <v>0.27339999999999998</v>
      </c>
      <c r="G41" s="100">
        <f>SUM(G37:G40)</f>
        <v>556.64</v>
      </c>
      <c r="H41" s="4">
        <f>ROUND(G34*F41,2)</f>
        <v>556.64</v>
      </c>
    </row>
    <row r="42" spans="1:8" x14ac:dyDescent="0.2">
      <c r="A42" s="779" t="s">
        <v>118</v>
      </c>
      <c r="B42" s="780"/>
      <c r="C42" s="780"/>
      <c r="D42" s="780"/>
      <c r="E42" s="780"/>
      <c r="F42" s="780"/>
      <c r="G42" s="781"/>
      <c r="H42" s="4">
        <f>SUM(G41,G34)</f>
        <v>2592.63</v>
      </c>
    </row>
    <row r="43" spans="1:8" x14ac:dyDescent="0.2">
      <c r="A43" s="42" t="s">
        <v>28</v>
      </c>
      <c r="B43" s="782" t="s">
        <v>42</v>
      </c>
      <c r="C43" s="783"/>
      <c r="D43" s="783"/>
      <c r="E43" s="819"/>
      <c r="F43" s="43">
        <v>0.2</v>
      </c>
      <c r="G43" s="22">
        <f>ROUND((G$34)*F43,2)</f>
        <v>407.2</v>
      </c>
      <c r="H43" s="4"/>
    </row>
    <row r="44" spans="1:8" x14ac:dyDescent="0.2">
      <c r="A44" s="36" t="s">
        <v>29</v>
      </c>
      <c r="B44" s="802" t="s">
        <v>43</v>
      </c>
      <c r="C44" s="803"/>
      <c r="D44" s="803"/>
      <c r="E44" s="816"/>
      <c r="F44" s="94">
        <v>2.5000000000000001E-2</v>
      </c>
      <c r="G44" s="101">
        <f>ROUND((G$34)*F44,2)</f>
        <v>50.9</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30.54</v>
      </c>
      <c r="H46" s="4"/>
    </row>
    <row r="47" spans="1:8" x14ac:dyDescent="0.2">
      <c r="A47" s="36" t="s">
        <v>32</v>
      </c>
      <c r="B47" s="802" t="s">
        <v>46</v>
      </c>
      <c r="C47" s="803"/>
      <c r="D47" s="803"/>
      <c r="E47" s="816"/>
      <c r="F47" s="94">
        <v>0.01</v>
      </c>
      <c r="G47" s="101">
        <f t="shared" si="0"/>
        <v>20.36</v>
      </c>
      <c r="H47" s="4"/>
    </row>
    <row r="48" spans="1:8" x14ac:dyDescent="0.2">
      <c r="A48" s="36" t="s">
        <v>34</v>
      </c>
      <c r="B48" s="802" t="s">
        <v>47</v>
      </c>
      <c r="C48" s="803"/>
      <c r="D48" s="803"/>
      <c r="E48" s="816"/>
      <c r="F48" s="94">
        <v>6.0000000000000001E-3</v>
      </c>
      <c r="G48" s="101">
        <f t="shared" si="0"/>
        <v>12.22</v>
      </c>
      <c r="H48" s="4"/>
    </row>
    <row r="49" spans="1:8" x14ac:dyDescent="0.2">
      <c r="A49" s="36" t="s">
        <v>48</v>
      </c>
      <c r="B49" s="802" t="s">
        <v>49</v>
      </c>
      <c r="C49" s="803"/>
      <c r="D49" s="803"/>
      <c r="E49" s="816"/>
      <c r="F49" s="94">
        <v>2E-3</v>
      </c>
      <c r="G49" s="101">
        <f t="shared" si="0"/>
        <v>4.07</v>
      </c>
      <c r="H49" s="4"/>
    </row>
    <row r="50" spans="1:8" x14ac:dyDescent="0.2">
      <c r="A50" s="96" t="s">
        <v>50</v>
      </c>
      <c r="B50" s="804" t="s">
        <v>51</v>
      </c>
      <c r="C50" s="805"/>
      <c r="D50" s="805"/>
      <c r="E50" s="817"/>
      <c r="F50" s="97">
        <v>0.08</v>
      </c>
      <c r="G50" s="101">
        <f t="shared" si="0"/>
        <v>162.88</v>
      </c>
      <c r="H50" s="4"/>
    </row>
    <row r="51" spans="1:8" x14ac:dyDescent="0.2">
      <c r="A51" s="786" t="s">
        <v>52</v>
      </c>
      <c r="B51" s="787"/>
      <c r="C51" s="787"/>
      <c r="D51" s="787"/>
      <c r="E51" s="785"/>
      <c r="F51" s="41">
        <f>SUM(F43:F50)</f>
        <v>0.33800000000000002</v>
      </c>
      <c r="G51" s="100">
        <f>SUM(G43:G50)</f>
        <v>688.17</v>
      </c>
      <c r="H51" s="4">
        <f>ROUND(G34*F51,2)</f>
        <v>688.16</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(12.5-1.4)</f>
        <v>11.1</v>
      </c>
      <c r="F54" s="103">
        <v>26</v>
      </c>
      <c r="G54" s="91">
        <f>ROUND((E54*F54),2)</f>
        <v>288.60000000000002</v>
      </c>
      <c r="H54" s="35"/>
    </row>
    <row r="55" spans="1:8" s="34" customFormat="1" x14ac:dyDescent="0.2">
      <c r="A55" s="36" t="s">
        <v>30</v>
      </c>
      <c r="B55" s="808" t="s">
        <v>58</v>
      </c>
      <c r="C55" s="809"/>
      <c r="D55" s="809"/>
      <c r="E55" s="102">
        <f>138.6</f>
        <v>138.6</v>
      </c>
      <c r="F55" s="103">
        <v>1</v>
      </c>
      <c r="G55" s="91">
        <f>ROUND((E55*F55),2)</f>
        <v>138.6</v>
      </c>
      <c r="H55" s="35"/>
    </row>
    <row r="56" spans="1:8" s="34" customFormat="1" x14ac:dyDescent="0.2">
      <c r="A56" s="36" t="s">
        <v>31</v>
      </c>
      <c r="B56" s="808" t="s">
        <v>254</v>
      </c>
      <c r="C56" s="809"/>
      <c r="D56" s="809"/>
      <c r="E56" s="102">
        <v>34.94</v>
      </c>
      <c r="F56" s="103">
        <v>1</v>
      </c>
      <c r="G56" s="91">
        <f>ROUND((E56*F56),2)</f>
        <v>34.94</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217</v>
      </c>
      <c r="C58" s="809"/>
      <c r="D58" s="809"/>
      <c r="E58" s="102">
        <f>ROUND(((F18/220)*8)*1.5,2)</f>
        <v>94.49</v>
      </c>
      <c r="F58" s="103">
        <v>1</v>
      </c>
      <c r="G58" s="91">
        <f>ROUND((E58*F58)/12,2)</f>
        <v>7.87</v>
      </c>
      <c r="H58" s="35"/>
    </row>
    <row r="59" spans="1:8" s="34" customFormat="1" x14ac:dyDescent="0.2">
      <c r="A59" s="36" t="s">
        <v>48</v>
      </c>
      <c r="B59" s="814" t="s">
        <v>180</v>
      </c>
      <c r="C59" s="815"/>
      <c r="D59" s="815"/>
      <c r="E59" s="102">
        <f>9.31</f>
        <v>9.31</v>
      </c>
      <c r="F59" s="104">
        <v>1</v>
      </c>
      <c r="G59" s="105">
        <f>ROUND((E59*F59),2)</f>
        <v>9.31</v>
      </c>
      <c r="H59" s="35"/>
    </row>
    <row r="60" spans="1:8" s="34" customFormat="1" x14ac:dyDescent="0.2">
      <c r="A60" s="36" t="s">
        <v>50</v>
      </c>
      <c r="B60" s="808" t="s">
        <v>152</v>
      </c>
      <c r="C60" s="809"/>
      <c r="D60" s="809"/>
      <c r="E60" s="102">
        <v>0</v>
      </c>
      <c r="F60" s="103">
        <v>1</v>
      </c>
      <c r="G60" s="106">
        <f>ROUND((E60*F60),2)</f>
        <v>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479.32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556.64</v>
      </c>
      <c r="H65" s="4"/>
    </row>
    <row r="66" spans="1:8" x14ac:dyDescent="0.2">
      <c r="A66" s="108" t="s">
        <v>64</v>
      </c>
      <c r="B66" s="749" t="s">
        <v>128</v>
      </c>
      <c r="C66" s="750"/>
      <c r="D66" s="750"/>
      <c r="E66" s="750"/>
      <c r="F66" s="18">
        <f>F51</f>
        <v>0.33800000000000002</v>
      </c>
      <c r="G66" s="109">
        <f>G51</f>
        <v>688.17</v>
      </c>
      <c r="H66" s="4"/>
    </row>
    <row r="67" spans="1:8" x14ac:dyDescent="0.2">
      <c r="A67" s="108" t="s">
        <v>65</v>
      </c>
      <c r="B67" s="749" t="s">
        <v>66</v>
      </c>
      <c r="C67" s="750"/>
      <c r="D67" s="750"/>
      <c r="E67" s="750"/>
      <c r="F67" s="751"/>
      <c r="G67" s="109">
        <f>G63</f>
        <v>479.32</v>
      </c>
      <c r="H67" s="4"/>
    </row>
    <row r="68" spans="1:8" x14ac:dyDescent="0.2">
      <c r="A68" s="758" t="s">
        <v>67</v>
      </c>
      <c r="B68" s="759"/>
      <c r="C68" s="759"/>
      <c r="D68" s="759"/>
      <c r="E68" s="759"/>
      <c r="F68" s="760"/>
      <c r="G68" s="93">
        <f>SUM(G65:G67)</f>
        <v>1724.13</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EPI''s'!G17</f>
        <v>0</v>
      </c>
      <c r="F108" s="24">
        <v>1</v>
      </c>
      <c r="G108" s="91">
        <f>ROUND((E108*F108),2)</f>
        <v>0</v>
      </c>
      <c r="H108" s="4"/>
    </row>
    <row r="109" spans="1:8" s="34" customFormat="1" x14ac:dyDescent="0.2">
      <c r="A109" s="36" t="s">
        <v>29</v>
      </c>
      <c r="B109" s="790" t="str">
        <f>'Uniformes e EPI''s'!A19</f>
        <v>EPI's</v>
      </c>
      <c r="C109" s="742"/>
      <c r="D109" s="742"/>
      <c r="E109" s="44">
        <f>'Uniformes e EPI''s'!F39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76.739999999999995</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76.739999999999995</v>
      </c>
      <c r="H127" s="4">
        <f ca="1">ROUND(G139*F127,2)</f>
        <v>76.739999999999995</v>
      </c>
    </row>
    <row r="128" spans="1:8" x14ac:dyDescent="0.2">
      <c r="A128" s="758" t="s">
        <v>104</v>
      </c>
      <c r="B128" s="759"/>
      <c r="C128" s="759"/>
      <c r="D128" s="759"/>
      <c r="E128" s="759"/>
      <c r="F128" s="23">
        <f>SUM(F119,F120,F127)</f>
        <v>0.02</v>
      </c>
      <c r="G128" s="113">
        <f ca="1">SUM(G119:G126)</f>
        <v>76.739999999999995</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2035.99</v>
      </c>
      <c r="H130" s="4"/>
    </row>
    <row r="131" spans="1:8" x14ac:dyDescent="0.2">
      <c r="A131" s="108" t="s">
        <v>29</v>
      </c>
      <c r="B131" s="749" t="s">
        <v>107</v>
      </c>
      <c r="C131" s="750"/>
      <c r="D131" s="750"/>
      <c r="E131" s="750"/>
      <c r="F131" s="751"/>
      <c r="G131" s="109">
        <f>G68</f>
        <v>1724.13</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3760.12</v>
      </c>
      <c r="H135" s="4"/>
    </row>
    <row r="136" spans="1:8" x14ac:dyDescent="0.2">
      <c r="A136" s="108" t="s">
        <v>34</v>
      </c>
      <c r="B136" s="755" t="s">
        <v>112</v>
      </c>
      <c r="C136" s="756"/>
      <c r="D136" s="756"/>
      <c r="E136" s="756"/>
      <c r="F136" s="757"/>
      <c r="G136" s="109">
        <f ca="1">G128</f>
        <v>76.739999999999995</v>
      </c>
      <c r="H136" s="4"/>
    </row>
    <row r="137" spans="1:8" x14ac:dyDescent="0.2">
      <c r="A137" s="758" t="s">
        <v>113</v>
      </c>
      <c r="B137" s="759"/>
      <c r="C137" s="759"/>
      <c r="D137" s="759"/>
      <c r="E137" s="759"/>
      <c r="F137" s="760"/>
      <c r="G137" s="93">
        <f ca="1">SUM(G135:G136)</f>
        <v>3836.86</v>
      </c>
      <c r="H137" s="4">
        <f ca="1">SUM(G130:G136)-G135</f>
        <v>3836.86</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3836.86</v>
      </c>
      <c r="H139" s="4"/>
    </row>
    <row r="140" spans="1:8" x14ac:dyDescent="0.2">
      <c r="A140" s="118"/>
      <c r="B140" s="607" t="s">
        <v>115</v>
      </c>
      <c r="C140" s="607"/>
      <c r="D140" s="607"/>
      <c r="E140" s="607"/>
      <c r="F140" s="608">
        <f>F21</f>
        <v>1</v>
      </c>
      <c r="G140" s="609">
        <f ca="1">G139*F140</f>
        <v>3836.86</v>
      </c>
      <c r="H140" s="4"/>
    </row>
    <row r="141" spans="1:8" x14ac:dyDescent="0.2">
      <c r="F141" s="348"/>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3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417</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t="s">
        <v>490</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420</v>
      </c>
      <c r="G16" s="844"/>
      <c r="H16" s="3"/>
    </row>
    <row r="17" spans="1:8" ht="14.1" customHeight="1" x14ac:dyDescent="0.2">
      <c r="A17" s="827" t="s">
        <v>21</v>
      </c>
      <c r="B17" s="828"/>
      <c r="C17" s="828"/>
      <c r="D17" s="828"/>
      <c r="E17" s="829"/>
      <c r="F17" s="843" t="s">
        <v>421</v>
      </c>
      <c r="G17" s="844"/>
      <c r="H17" s="3"/>
    </row>
    <row r="18" spans="1:8" ht="14.1" customHeight="1" x14ac:dyDescent="0.2">
      <c r="A18" s="827" t="s">
        <v>1</v>
      </c>
      <c r="B18" s="828"/>
      <c r="C18" s="828"/>
      <c r="D18" s="828"/>
      <c r="E18" s="829"/>
      <c r="F18" s="837">
        <v>1951.37</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5.5" customHeight="1" x14ac:dyDescent="0.2">
      <c r="A24" s="873" t="s">
        <v>433</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1" t="s">
        <v>27</v>
      </c>
      <c r="G26" s="88" t="s">
        <v>3</v>
      </c>
    </row>
    <row r="27" spans="1:8" s="34" customFormat="1" x14ac:dyDescent="0.2">
      <c r="A27" s="89" t="s">
        <v>28</v>
      </c>
      <c r="B27" s="822" t="s">
        <v>153</v>
      </c>
      <c r="C27" s="822"/>
      <c r="D27" s="822"/>
      <c r="E27" s="822"/>
      <c r="F27" s="90">
        <v>1</v>
      </c>
      <c r="G27" s="91">
        <f>F18*F27</f>
        <v>1951.37</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2254.9699999999998</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187.84</v>
      </c>
      <c r="H37" s="53"/>
    </row>
    <row r="38" spans="1:8" x14ac:dyDescent="0.2">
      <c r="A38" s="96" t="s">
        <v>29</v>
      </c>
      <c r="B38" s="804" t="s">
        <v>157</v>
      </c>
      <c r="C38" s="805"/>
      <c r="D38" s="805"/>
      <c r="E38" s="817"/>
      <c r="F38" s="97">
        <f>ROUND((1/11)+(1/11)/3, 3)</f>
        <v>0.121</v>
      </c>
      <c r="G38" s="8">
        <f>ROUND(G$34*F38,2)</f>
        <v>272.85000000000002</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155.82</v>
      </c>
      <c r="H40" s="4"/>
    </row>
    <row r="41" spans="1:8" x14ac:dyDescent="0.2">
      <c r="A41" s="786" t="s">
        <v>41</v>
      </c>
      <c r="B41" s="787"/>
      <c r="C41" s="787"/>
      <c r="D41" s="787"/>
      <c r="E41" s="785"/>
      <c r="F41" s="41">
        <f>ROUND(SUM(F39:F40),4)</f>
        <v>0.27339999999999998</v>
      </c>
      <c r="G41" s="100">
        <f>SUM(G37:G40)</f>
        <v>616.51</v>
      </c>
      <c r="H41" s="4">
        <f>ROUND(G34*F41,2)</f>
        <v>616.51</v>
      </c>
    </row>
    <row r="42" spans="1:8" x14ac:dyDescent="0.2">
      <c r="A42" s="779" t="s">
        <v>118</v>
      </c>
      <c r="B42" s="780"/>
      <c r="C42" s="780"/>
      <c r="D42" s="780"/>
      <c r="E42" s="780"/>
      <c r="F42" s="780"/>
      <c r="G42" s="781"/>
      <c r="H42" s="4">
        <f>SUM(G41,G34)</f>
        <v>2871.48</v>
      </c>
    </row>
    <row r="43" spans="1:8" x14ac:dyDescent="0.2">
      <c r="A43" s="42" t="s">
        <v>28</v>
      </c>
      <c r="B43" s="782" t="s">
        <v>42</v>
      </c>
      <c r="C43" s="783"/>
      <c r="D43" s="783"/>
      <c r="E43" s="819"/>
      <c r="F43" s="43">
        <v>0.2</v>
      </c>
      <c r="G43" s="22">
        <f>ROUND((G$34)*F43,2)</f>
        <v>450.99</v>
      </c>
      <c r="H43" s="4"/>
    </row>
    <row r="44" spans="1:8" x14ac:dyDescent="0.2">
      <c r="A44" s="36" t="s">
        <v>29</v>
      </c>
      <c r="B44" s="802" t="s">
        <v>43</v>
      </c>
      <c r="C44" s="803"/>
      <c r="D44" s="803"/>
      <c r="E44" s="816"/>
      <c r="F44" s="94">
        <v>2.5000000000000001E-2</v>
      </c>
      <c r="G44" s="101">
        <f>ROUND((G$34)*F44,2)</f>
        <v>56.37</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33.82</v>
      </c>
      <c r="H46" s="4"/>
    </row>
    <row r="47" spans="1:8" x14ac:dyDescent="0.2">
      <c r="A47" s="36" t="s">
        <v>32</v>
      </c>
      <c r="B47" s="802" t="s">
        <v>46</v>
      </c>
      <c r="C47" s="803"/>
      <c r="D47" s="803"/>
      <c r="E47" s="816"/>
      <c r="F47" s="94">
        <v>0.01</v>
      </c>
      <c r="G47" s="101">
        <f t="shared" si="0"/>
        <v>22.55</v>
      </c>
      <c r="H47" s="4"/>
    </row>
    <row r="48" spans="1:8" x14ac:dyDescent="0.2">
      <c r="A48" s="36" t="s">
        <v>34</v>
      </c>
      <c r="B48" s="802" t="s">
        <v>47</v>
      </c>
      <c r="C48" s="803"/>
      <c r="D48" s="803"/>
      <c r="E48" s="816"/>
      <c r="F48" s="94">
        <v>6.0000000000000001E-3</v>
      </c>
      <c r="G48" s="101">
        <f t="shared" si="0"/>
        <v>13.53</v>
      </c>
      <c r="H48" s="4"/>
    </row>
    <row r="49" spans="1:8" x14ac:dyDescent="0.2">
      <c r="A49" s="36" t="s">
        <v>48</v>
      </c>
      <c r="B49" s="802" t="s">
        <v>49</v>
      </c>
      <c r="C49" s="803"/>
      <c r="D49" s="803"/>
      <c r="E49" s="816"/>
      <c r="F49" s="94">
        <v>2E-3</v>
      </c>
      <c r="G49" s="101">
        <f t="shared" si="0"/>
        <v>4.51</v>
      </c>
      <c r="H49" s="4"/>
    </row>
    <row r="50" spans="1:8" x14ac:dyDescent="0.2">
      <c r="A50" s="96" t="s">
        <v>50</v>
      </c>
      <c r="B50" s="804" t="s">
        <v>51</v>
      </c>
      <c r="C50" s="805"/>
      <c r="D50" s="805"/>
      <c r="E50" s="817"/>
      <c r="F50" s="97">
        <v>0.08</v>
      </c>
      <c r="G50" s="101">
        <f t="shared" si="0"/>
        <v>180.4</v>
      </c>
      <c r="H50" s="4"/>
    </row>
    <row r="51" spans="1:8" x14ac:dyDescent="0.2">
      <c r="A51" s="786" t="s">
        <v>52</v>
      </c>
      <c r="B51" s="787"/>
      <c r="C51" s="787"/>
      <c r="D51" s="787"/>
      <c r="E51" s="785"/>
      <c r="F51" s="41">
        <f>SUM(F43:F50)</f>
        <v>0.33800000000000002</v>
      </c>
      <c r="G51" s="100">
        <f>SUM(G43:G50)</f>
        <v>762.17</v>
      </c>
      <c r="H51" s="4">
        <f>ROUND(G34*F51,2)</f>
        <v>762.18</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(12.5-1.4)</f>
        <v>11.1</v>
      </c>
      <c r="F54" s="103">
        <v>26</v>
      </c>
      <c r="G54" s="91">
        <f>ROUND((E54*F54),2)</f>
        <v>288.60000000000002</v>
      </c>
      <c r="H54" s="35"/>
    </row>
    <row r="55" spans="1:8" s="34" customFormat="1" x14ac:dyDescent="0.2">
      <c r="A55" s="36" t="s">
        <v>30</v>
      </c>
      <c r="B55" s="808" t="s">
        <v>58</v>
      </c>
      <c r="C55" s="809"/>
      <c r="D55" s="809"/>
      <c r="E55" s="102">
        <f>138.6</f>
        <v>138.6</v>
      </c>
      <c r="F55" s="103">
        <v>1</v>
      </c>
      <c r="G55" s="91">
        <f>ROUND((E55*F55),2)</f>
        <v>138.6</v>
      </c>
      <c r="H55" s="35"/>
    </row>
    <row r="56" spans="1:8" s="34" customFormat="1" x14ac:dyDescent="0.2">
      <c r="A56" s="36" t="s">
        <v>31</v>
      </c>
      <c r="B56" s="808" t="s">
        <v>254</v>
      </c>
      <c r="C56" s="809"/>
      <c r="D56" s="809"/>
      <c r="E56" s="102">
        <v>34.94</v>
      </c>
      <c r="F56" s="103">
        <v>1</v>
      </c>
      <c r="G56" s="91">
        <f>ROUND((E56*F56),2)</f>
        <v>34.94</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217</v>
      </c>
      <c r="C58" s="809"/>
      <c r="D58" s="809"/>
      <c r="E58" s="102">
        <f>ROUND(((F18/220)*8)*1.5,2)</f>
        <v>106.44</v>
      </c>
      <c r="F58" s="103">
        <v>1</v>
      </c>
      <c r="G58" s="91">
        <f>ROUND((E58*F58)/12,2)</f>
        <v>8.8699999999999992</v>
      </c>
      <c r="H58" s="35"/>
    </row>
    <row r="59" spans="1:8" s="34" customFormat="1" x14ac:dyDescent="0.2">
      <c r="A59" s="36" t="s">
        <v>48</v>
      </c>
      <c r="B59" s="814" t="s">
        <v>180</v>
      </c>
      <c r="C59" s="815"/>
      <c r="D59" s="815"/>
      <c r="E59" s="102">
        <f>9.31</f>
        <v>9.31</v>
      </c>
      <c r="F59" s="104">
        <v>1</v>
      </c>
      <c r="G59" s="105">
        <f>ROUND((E59*F59),2)</f>
        <v>9.31</v>
      </c>
      <c r="H59" s="35"/>
    </row>
    <row r="60" spans="1:8" s="34" customFormat="1" x14ac:dyDescent="0.2">
      <c r="A60" s="36" t="s">
        <v>50</v>
      </c>
      <c r="B60" s="808" t="s">
        <v>152</v>
      </c>
      <c r="C60" s="809"/>
      <c r="D60" s="809"/>
      <c r="E60" s="102">
        <v>0</v>
      </c>
      <c r="F60" s="103">
        <v>1</v>
      </c>
      <c r="G60" s="106">
        <f>ROUND((E60*F60),2)</f>
        <v>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480.32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616.51</v>
      </c>
      <c r="H65" s="4"/>
    </row>
    <row r="66" spans="1:8" x14ac:dyDescent="0.2">
      <c r="A66" s="108" t="s">
        <v>64</v>
      </c>
      <c r="B66" s="749" t="s">
        <v>128</v>
      </c>
      <c r="C66" s="750"/>
      <c r="D66" s="750"/>
      <c r="E66" s="750"/>
      <c r="F66" s="18">
        <f>F51</f>
        <v>0.33800000000000002</v>
      </c>
      <c r="G66" s="109">
        <f>G51</f>
        <v>762.17</v>
      </c>
      <c r="H66" s="4"/>
    </row>
    <row r="67" spans="1:8" x14ac:dyDescent="0.2">
      <c r="A67" s="108" t="s">
        <v>65</v>
      </c>
      <c r="B67" s="749" t="s">
        <v>66</v>
      </c>
      <c r="C67" s="750"/>
      <c r="D67" s="750"/>
      <c r="E67" s="750"/>
      <c r="F67" s="751"/>
      <c r="G67" s="109">
        <f>G63</f>
        <v>480.32</v>
      </c>
      <c r="H67" s="4"/>
    </row>
    <row r="68" spans="1:8" x14ac:dyDescent="0.2">
      <c r="A68" s="758" t="s">
        <v>67</v>
      </c>
      <c r="B68" s="759"/>
      <c r="C68" s="759"/>
      <c r="D68" s="759"/>
      <c r="E68" s="759"/>
      <c r="F68" s="760"/>
      <c r="G68" s="93">
        <f>SUM(G65:G67)</f>
        <v>1859</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EPI''s'!G17</f>
        <v>0</v>
      </c>
      <c r="F108" s="24">
        <v>1</v>
      </c>
      <c r="G108" s="91">
        <f>ROUND((E108*F108),2)</f>
        <v>0</v>
      </c>
      <c r="H108" s="4"/>
    </row>
    <row r="109" spans="1:8" s="34" customFormat="1" x14ac:dyDescent="0.2">
      <c r="A109" s="36" t="s">
        <v>29</v>
      </c>
      <c r="B109" s="790" t="str">
        <f>'Uniformes e EPI''s'!A19</f>
        <v>EPI's</v>
      </c>
      <c r="C109" s="742"/>
      <c r="D109" s="742"/>
      <c r="E109" s="44">
        <f>'Uniformes e EPI''s'!F39</f>
        <v>0</v>
      </c>
      <c r="F109" s="46">
        <v>1</v>
      </c>
      <c r="G109" s="91">
        <f>ROUND((E109*F109),2)</f>
        <v>0</v>
      </c>
      <c r="H109" s="35"/>
    </row>
    <row r="110" spans="1:8" s="34" customFormat="1" x14ac:dyDescent="0.2">
      <c r="A110" s="36" t="s">
        <v>30</v>
      </c>
      <c r="B110" s="741" t="s">
        <v>59</v>
      </c>
      <c r="C110" s="742"/>
      <c r="D110" s="742"/>
      <c r="E110" s="44">
        <v>0</v>
      </c>
      <c r="F110" s="47">
        <v>1</v>
      </c>
      <c r="G110" s="91">
        <f t="shared" ref="G110:G115" si="3">ROUND((E110*F110),2)</f>
        <v>0</v>
      </c>
      <c r="H110" s="35"/>
    </row>
    <row r="111" spans="1:8" s="34" customFormat="1" x14ac:dyDescent="0.2">
      <c r="A111" s="156" t="s">
        <v>31</v>
      </c>
      <c r="B111" s="741" t="s">
        <v>59</v>
      </c>
      <c r="C111" s="742"/>
      <c r="D111" s="742"/>
      <c r="E111" s="44">
        <v>0</v>
      </c>
      <c r="F111" s="47">
        <v>1</v>
      </c>
      <c r="G111" s="91">
        <f t="shared" si="3"/>
        <v>0</v>
      </c>
      <c r="H111" s="35"/>
    </row>
    <row r="112" spans="1:8" s="34" customFormat="1" x14ac:dyDescent="0.2">
      <c r="A112" s="36" t="s">
        <v>32</v>
      </c>
      <c r="B112" s="741" t="s">
        <v>59</v>
      </c>
      <c r="C112" s="742"/>
      <c r="D112" s="742"/>
      <c r="E112" s="44">
        <v>0</v>
      </c>
      <c r="F112" s="47">
        <v>1</v>
      </c>
      <c r="G112" s="91">
        <f t="shared" si="3"/>
        <v>0</v>
      </c>
      <c r="H112" s="35"/>
    </row>
    <row r="113" spans="1:8" s="34" customFormat="1" x14ac:dyDescent="0.2">
      <c r="A113" s="36" t="s">
        <v>34</v>
      </c>
      <c r="B113" s="741" t="s">
        <v>59</v>
      </c>
      <c r="C113" s="742"/>
      <c r="D113" s="742"/>
      <c r="E113" s="44">
        <v>0</v>
      </c>
      <c r="F113" s="47">
        <v>1</v>
      </c>
      <c r="G113" s="91">
        <f t="shared" si="3"/>
        <v>0</v>
      </c>
      <c r="H113" s="35"/>
    </row>
    <row r="114" spans="1:8" s="34" customFormat="1" x14ac:dyDescent="0.2">
      <c r="A114" s="156" t="s">
        <v>48</v>
      </c>
      <c r="B114" s="741" t="s">
        <v>59</v>
      </c>
      <c r="C114" s="742"/>
      <c r="D114" s="742"/>
      <c r="E114" s="44">
        <v>0</v>
      </c>
      <c r="F114" s="47">
        <v>1</v>
      </c>
      <c r="G114" s="91">
        <f t="shared" si="3"/>
        <v>0</v>
      </c>
      <c r="H114" s="35"/>
    </row>
    <row r="115" spans="1:8" s="34" customFormat="1" x14ac:dyDescent="0.2">
      <c r="A115" s="36" t="s">
        <v>50</v>
      </c>
      <c r="B115" s="791" t="s">
        <v>59</v>
      </c>
      <c r="C115" s="792"/>
      <c r="D115" s="792"/>
      <c r="E115" s="44">
        <v>0</v>
      </c>
      <c r="F115" s="47">
        <v>1</v>
      </c>
      <c r="G115" s="91">
        <f t="shared" si="3"/>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83.96</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83.96</v>
      </c>
      <c r="H127" s="4">
        <f ca="1">ROUND(G139*F127,2)</f>
        <v>83.96</v>
      </c>
    </row>
    <row r="128" spans="1:8" x14ac:dyDescent="0.2">
      <c r="A128" s="758" t="s">
        <v>104</v>
      </c>
      <c r="B128" s="759"/>
      <c r="C128" s="759"/>
      <c r="D128" s="759"/>
      <c r="E128" s="759"/>
      <c r="F128" s="23">
        <f>SUM(F119,F120,F127)</f>
        <v>0.02</v>
      </c>
      <c r="G128" s="113">
        <f ca="1">SUM(G119:G126)</f>
        <v>83.96</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2254.9699999999998</v>
      </c>
      <c r="H130" s="4"/>
    </row>
    <row r="131" spans="1:8" x14ac:dyDescent="0.2">
      <c r="A131" s="108" t="s">
        <v>29</v>
      </c>
      <c r="B131" s="749" t="s">
        <v>107</v>
      </c>
      <c r="C131" s="750"/>
      <c r="D131" s="750"/>
      <c r="E131" s="750"/>
      <c r="F131" s="751"/>
      <c r="G131" s="109">
        <f>G68</f>
        <v>1859</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4113.97</v>
      </c>
      <c r="H135" s="4"/>
    </row>
    <row r="136" spans="1:8" x14ac:dyDescent="0.2">
      <c r="A136" s="108" t="s">
        <v>34</v>
      </c>
      <c r="B136" s="755" t="s">
        <v>112</v>
      </c>
      <c r="C136" s="756"/>
      <c r="D136" s="756"/>
      <c r="E136" s="756"/>
      <c r="F136" s="757"/>
      <c r="G136" s="109">
        <f ca="1">G128</f>
        <v>83.96</v>
      </c>
      <c r="H136" s="4"/>
    </row>
    <row r="137" spans="1:8" x14ac:dyDescent="0.2">
      <c r="A137" s="758" t="s">
        <v>113</v>
      </c>
      <c r="B137" s="759"/>
      <c r="C137" s="759"/>
      <c r="D137" s="759"/>
      <c r="E137" s="759"/>
      <c r="F137" s="760"/>
      <c r="G137" s="93">
        <f ca="1">SUM(G135:G136)</f>
        <v>4197.93</v>
      </c>
      <c r="H137" s="4">
        <f ca="1">SUM(G130:G136)-G135</f>
        <v>4197.93</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4197.93</v>
      </c>
      <c r="H139" s="4"/>
    </row>
    <row r="140" spans="1:8" x14ac:dyDescent="0.2">
      <c r="A140" s="118"/>
      <c r="B140" s="607" t="s">
        <v>115</v>
      </c>
      <c r="C140" s="607"/>
      <c r="D140" s="607"/>
      <c r="E140" s="607"/>
      <c r="F140" s="608">
        <f>F21</f>
        <v>1</v>
      </c>
      <c r="G140" s="609">
        <f ca="1">G139*F140</f>
        <v>4197.93</v>
      </c>
      <c r="H140" s="4"/>
    </row>
    <row r="141" spans="1:8" x14ac:dyDescent="0.2">
      <c r="F141" s="352"/>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I151"/>
  <sheetViews>
    <sheetView view="pageBreakPreview" topLeftCell="A40"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967" t="s">
        <v>444</v>
      </c>
      <c r="B2" s="968"/>
      <c r="C2" s="968"/>
      <c r="D2" s="271"/>
      <c r="E2" s="271"/>
      <c r="F2" s="969" t="s">
        <v>449</v>
      </c>
      <c r="G2" s="970"/>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971" t="s">
        <v>5</v>
      </c>
      <c r="B5" s="972"/>
      <c r="C5" s="972"/>
      <c r="D5" s="972"/>
      <c r="E5" s="972"/>
      <c r="F5" s="973"/>
      <c r="G5" s="974"/>
    </row>
    <row r="6" spans="1:8" ht="12.75" customHeight="1" x14ac:dyDescent="0.2">
      <c r="A6" s="947" t="s">
        <v>16</v>
      </c>
      <c r="B6" s="948"/>
      <c r="C6" s="948"/>
      <c r="D6" s="948"/>
      <c r="E6" s="949"/>
      <c r="F6" s="959"/>
      <c r="G6" s="960"/>
    </row>
    <row r="7" spans="1:8" ht="14.1" customHeight="1" x14ac:dyDescent="0.2">
      <c r="A7" s="947" t="s">
        <v>11</v>
      </c>
      <c r="B7" s="948"/>
      <c r="C7" s="948"/>
      <c r="D7" s="948"/>
      <c r="E7" s="949"/>
      <c r="F7" s="977" t="s">
        <v>417</v>
      </c>
      <c r="G7" s="960"/>
    </row>
    <row r="8" spans="1:8" ht="19.5" customHeight="1" x14ac:dyDescent="0.2">
      <c r="A8" s="978" t="s">
        <v>146</v>
      </c>
      <c r="B8" s="979"/>
      <c r="C8" s="979"/>
      <c r="D8" s="979"/>
      <c r="E8" s="979"/>
      <c r="F8" s="979"/>
      <c r="G8" s="980"/>
    </row>
    <row r="9" spans="1:8" ht="19.5" customHeight="1" x14ac:dyDescent="0.2">
      <c r="A9" s="981"/>
      <c r="B9" s="982"/>
      <c r="C9" s="982"/>
      <c r="D9" s="982"/>
      <c r="E9" s="982"/>
      <c r="F9" s="982"/>
      <c r="G9" s="983"/>
    </row>
    <row r="10" spans="1:8" ht="14.1" customHeight="1" x14ac:dyDescent="0.2">
      <c r="A10" s="950" t="s">
        <v>17</v>
      </c>
      <c r="B10" s="951"/>
      <c r="C10" s="951"/>
      <c r="D10" s="951"/>
      <c r="E10" s="952"/>
      <c r="F10" s="975">
        <v>2025</v>
      </c>
      <c r="G10" s="976"/>
    </row>
    <row r="11" spans="1:8" ht="14.1" customHeight="1" x14ac:dyDescent="0.2">
      <c r="A11" s="950" t="s">
        <v>18</v>
      </c>
      <c r="B11" s="951"/>
      <c r="C11" s="951"/>
      <c r="D11" s="951"/>
      <c r="E11" s="952"/>
      <c r="F11" s="975" t="s">
        <v>397</v>
      </c>
      <c r="G11" s="976"/>
    </row>
    <row r="12" spans="1:8" ht="14.1" customHeight="1" x14ac:dyDescent="0.2">
      <c r="A12" s="950" t="s">
        <v>19</v>
      </c>
      <c r="B12" s="951"/>
      <c r="C12" s="951"/>
      <c r="D12" s="951"/>
      <c r="E12" s="952"/>
      <c r="F12" s="975" t="s">
        <v>20</v>
      </c>
      <c r="G12" s="976"/>
    </row>
    <row r="13" spans="1:8" ht="14.1" customHeight="1" x14ac:dyDescent="0.2">
      <c r="A13" s="950" t="s">
        <v>10</v>
      </c>
      <c r="B13" s="951"/>
      <c r="C13" s="951"/>
      <c r="D13" s="951"/>
      <c r="E13" s="952"/>
      <c r="F13" s="975" t="s">
        <v>9</v>
      </c>
      <c r="G13" s="976"/>
    </row>
    <row r="14" spans="1:8" ht="14.1" customHeight="1" x14ac:dyDescent="0.2">
      <c r="A14" s="890" t="s">
        <v>6</v>
      </c>
      <c r="B14" s="891"/>
      <c r="C14" s="891"/>
      <c r="D14" s="891"/>
      <c r="E14" s="891"/>
      <c r="F14" s="892"/>
      <c r="G14" s="893"/>
    </row>
    <row r="15" spans="1:8" ht="14.1" customHeight="1" x14ac:dyDescent="0.2">
      <c r="A15" s="950" t="s">
        <v>7</v>
      </c>
      <c r="B15" s="951"/>
      <c r="C15" s="951"/>
      <c r="D15" s="951"/>
      <c r="E15" s="952"/>
      <c r="F15" s="954">
        <v>1518</v>
      </c>
      <c r="G15" s="955"/>
    </row>
    <row r="16" spans="1:8" ht="13.5" customHeight="1" x14ac:dyDescent="0.2">
      <c r="A16" s="950" t="s">
        <v>0</v>
      </c>
      <c r="B16" s="951"/>
      <c r="C16" s="951"/>
      <c r="D16" s="951"/>
      <c r="E16" s="952"/>
      <c r="F16" s="961" t="s">
        <v>398</v>
      </c>
      <c r="G16" s="962"/>
      <c r="H16" s="3"/>
    </row>
    <row r="17" spans="1:8" ht="14.1" customHeight="1" x14ac:dyDescent="0.2">
      <c r="A17" s="950" t="s">
        <v>21</v>
      </c>
      <c r="B17" s="951"/>
      <c r="C17" s="951"/>
      <c r="D17" s="951"/>
      <c r="E17" s="952"/>
      <c r="F17" s="963" t="s">
        <v>399</v>
      </c>
      <c r="G17" s="964"/>
      <c r="H17" s="3"/>
    </row>
    <row r="18" spans="1:8" ht="14.1" customHeight="1" x14ac:dyDescent="0.2">
      <c r="A18" s="950" t="s">
        <v>1</v>
      </c>
      <c r="B18" s="951"/>
      <c r="C18" s="951"/>
      <c r="D18" s="951"/>
      <c r="E18" s="952"/>
      <c r="F18" s="965">
        <v>1766.58</v>
      </c>
      <c r="G18" s="966"/>
    </row>
    <row r="19" spans="1:8" ht="14.1" customHeight="1" x14ac:dyDescent="0.2">
      <c r="A19" s="947" t="s">
        <v>8</v>
      </c>
      <c r="B19" s="948"/>
      <c r="C19" s="948"/>
      <c r="D19" s="948"/>
      <c r="E19" s="949"/>
      <c r="F19" s="839">
        <v>45658</v>
      </c>
      <c r="G19" s="840"/>
    </row>
    <row r="20" spans="1:8" ht="14.1" customHeight="1" x14ac:dyDescent="0.2">
      <c r="A20" s="950" t="s">
        <v>22</v>
      </c>
      <c r="B20" s="951"/>
      <c r="C20" s="951"/>
      <c r="D20" s="951"/>
      <c r="E20" s="952"/>
      <c r="F20" s="830" t="s">
        <v>140</v>
      </c>
      <c r="G20" s="831"/>
    </row>
    <row r="21" spans="1:8" ht="14.1" customHeight="1" x14ac:dyDescent="0.2">
      <c r="A21" s="947" t="s">
        <v>23</v>
      </c>
      <c r="B21" s="948"/>
      <c r="C21" s="948"/>
      <c r="D21" s="948"/>
      <c r="E21" s="949"/>
      <c r="F21" s="835">
        <v>1</v>
      </c>
      <c r="G21" s="836"/>
    </row>
    <row r="22" spans="1:8" ht="14.1" customHeight="1" x14ac:dyDescent="0.2">
      <c r="A22" s="947" t="s">
        <v>24</v>
      </c>
      <c r="B22" s="948"/>
      <c r="C22" s="948"/>
      <c r="D22" s="948"/>
      <c r="E22" s="949"/>
      <c r="F22" s="835">
        <v>3</v>
      </c>
      <c r="G22" s="836"/>
    </row>
    <row r="23" spans="1:8" ht="12.75" customHeight="1" x14ac:dyDescent="0.2">
      <c r="A23" s="947" t="s">
        <v>25</v>
      </c>
      <c r="B23" s="948"/>
      <c r="C23" s="948"/>
      <c r="D23" s="948"/>
      <c r="E23" s="949"/>
      <c r="F23" s="956" t="s">
        <v>214</v>
      </c>
      <c r="G23" s="957"/>
    </row>
    <row r="24" spans="1:8" ht="27" customHeight="1" x14ac:dyDescent="0.2">
      <c r="A24" s="958" t="s">
        <v>418</v>
      </c>
      <c r="B24" s="959"/>
      <c r="C24" s="959"/>
      <c r="D24" s="959"/>
      <c r="E24" s="959"/>
      <c r="F24" s="959"/>
      <c r="G24" s="960"/>
    </row>
    <row r="25" spans="1:8" x14ac:dyDescent="0.2">
      <c r="A25" s="890" t="s">
        <v>2</v>
      </c>
      <c r="B25" s="891"/>
      <c r="C25" s="891"/>
      <c r="D25" s="891"/>
      <c r="E25" s="891"/>
      <c r="F25" s="892"/>
      <c r="G25" s="893"/>
    </row>
    <row r="26" spans="1:8" x14ac:dyDescent="0.2">
      <c r="A26" s="272">
        <v>1</v>
      </c>
      <c r="B26" s="944" t="s">
        <v>26</v>
      </c>
      <c r="C26" s="944"/>
      <c r="D26" s="944"/>
      <c r="E26" s="944"/>
      <c r="F26" s="350" t="s">
        <v>27</v>
      </c>
      <c r="G26" s="274" t="s">
        <v>3</v>
      </c>
    </row>
    <row r="27" spans="1:8" x14ac:dyDescent="0.2">
      <c r="A27" s="275" t="s">
        <v>28</v>
      </c>
      <c r="B27" s="945" t="s">
        <v>400</v>
      </c>
      <c r="C27" s="945"/>
      <c r="D27" s="945"/>
      <c r="E27" s="945"/>
      <c r="F27" s="276">
        <v>1</v>
      </c>
      <c r="G27" s="277">
        <f>F18*F27</f>
        <v>1766.58</v>
      </c>
      <c r="H27" s="278"/>
    </row>
    <row r="28" spans="1:8" x14ac:dyDescent="0.2">
      <c r="A28" s="275" t="s">
        <v>29</v>
      </c>
      <c r="B28" s="946" t="s">
        <v>117</v>
      </c>
      <c r="C28" s="946"/>
      <c r="D28" s="946"/>
      <c r="E28" s="946"/>
      <c r="F28" s="279">
        <v>0</v>
      </c>
      <c r="G28" s="277">
        <f>ROUND(G27*F28,2)</f>
        <v>0</v>
      </c>
      <c r="H28" s="278"/>
    </row>
    <row r="29" spans="1:8" x14ac:dyDescent="0.2">
      <c r="A29" s="275" t="s">
        <v>30</v>
      </c>
      <c r="B29" s="946" t="s">
        <v>15</v>
      </c>
      <c r="C29" s="946"/>
      <c r="D29" s="946"/>
      <c r="E29" s="946"/>
      <c r="F29" s="279">
        <v>0.2</v>
      </c>
      <c r="G29" s="277">
        <f>ROUND(F15*F29,2)</f>
        <v>303.60000000000002</v>
      </c>
      <c r="H29" s="278"/>
    </row>
    <row r="30" spans="1:8" x14ac:dyDescent="0.2">
      <c r="A30" s="275" t="s">
        <v>31</v>
      </c>
      <c r="B30" s="820" t="s">
        <v>154</v>
      </c>
      <c r="C30" s="820"/>
      <c r="D30" s="820"/>
      <c r="E30" s="820"/>
      <c r="F30" s="276">
        <f>ROUND((ROUND((0*15.22),2)/52.5)*60,2)</f>
        <v>0</v>
      </c>
      <c r="G30" s="277">
        <f>ROUND(ROUND(ROUND((SUM(G27:G29)+G33)/220,2)*0.2,2)*F30,2)</f>
        <v>0</v>
      </c>
      <c r="H30" s="278"/>
    </row>
    <row r="31" spans="1:8" x14ac:dyDescent="0.2">
      <c r="A31" s="376" t="s">
        <v>32</v>
      </c>
      <c r="B31" s="820" t="s">
        <v>33</v>
      </c>
      <c r="C31" s="820"/>
      <c r="D31" s="820"/>
      <c r="E31" s="820"/>
      <c r="F31" s="276">
        <v>0</v>
      </c>
      <c r="G31" s="277"/>
      <c r="H31" s="278"/>
    </row>
    <row r="32" spans="1:8" x14ac:dyDescent="0.2">
      <c r="A32" s="275" t="s">
        <v>34</v>
      </c>
      <c r="B32" s="820" t="s">
        <v>155</v>
      </c>
      <c r="C32" s="820"/>
      <c r="D32" s="820"/>
      <c r="E32" s="820"/>
      <c r="F32" s="276">
        <f>ROUND(SUM(F30)/15.22*5,2)</f>
        <v>0</v>
      </c>
      <c r="G32" s="277">
        <f>ROUND(ROUND(ROUND((SUM(G27:G29)+G33)/220,2)*0.2,2)*F32,2)</f>
        <v>0</v>
      </c>
      <c r="H32" s="278"/>
    </row>
    <row r="33" spans="1:8" x14ac:dyDescent="0.2">
      <c r="A33" s="275" t="s">
        <v>48</v>
      </c>
      <c r="B33" s="820" t="s">
        <v>156</v>
      </c>
      <c r="C33" s="820"/>
      <c r="D33" s="820"/>
      <c r="E33" s="820"/>
      <c r="F33" s="279">
        <v>0</v>
      </c>
      <c r="G33" s="277">
        <f>ROUND(F18*F33,2)</f>
        <v>0</v>
      </c>
      <c r="H33" s="278"/>
    </row>
    <row r="34" spans="1:8" x14ac:dyDescent="0.2">
      <c r="A34" s="912" t="s">
        <v>35</v>
      </c>
      <c r="B34" s="884"/>
      <c r="C34" s="884"/>
      <c r="D34" s="884"/>
      <c r="E34" s="884"/>
      <c r="F34" s="953"/>
      <c r="G34" s="280">
        <f>SUM(G27:G33)</f>
        <v>2070.1799999999998</v>
      </c>
    </row>
    <row r="35" spans="1:8" x14ac:dyDescent="0.2">
      <c r="A35" s="890" t="s">
        <v>36</v>
      </c>
      <c r="B35" s="891"/>
      <c r="C35" s="891"/>
      <c r="D35" s="891"/>
      <c r="E35" s="891"/>
      <c r="F35" s="892"/>
      <c r="G35" s="893"/>
    </row>
    <row r="36" spans="1:8" x14ac:dyDescent="0.2">
      <c r="A36" s="906" t="s">
        <v>37</v>
      </c>
      <c r="B36" s="907"/>
      <c r="C36" s="907"/>
      <c r="D36" s="907"/>
      <c r="E36" s="907"/>
      <c r="F36" s="907"/>
      <c r="G36" s="908"/>
      <c r="H36" s="4"/>
    </row>
    <row r="37" spans="1:8" s="7" customFormat="1" x14ac:dyDescent="0.2">
      <c r="A37" s="156" t="s">
        <v>28</v>
      </c>
      <c r="B37" s="909" t="s">
        <v>38</v>
      </c>
      <c r="C37" s="910"/>
      <c r="D37" s="910"/>
      <c r="E37" s="943"/>
      <c r="F37" s="281">
        <v>8.3299999999999999E-2</v>
      </c>
      <c r="G37" s="95">
        <f>ROUND(G$34*F37,2)</f>
        <v>172.45</v>
      </c>
      <c r="H37" s="348"/>
    </row>
    <row r="38" spans="1:8" x14ac:dyDescent="0.2">
      <c r="A38" s="96" t="s">
        <v>29</v>
      </c>
      <c r="B38" s="928" t="s">
        <v>401</v>
      </c>
      <c r="C38" s="929"/>
      <c r="D38" s="929"/>
      <c r="E38" s="941"/>
      <c r="F38" s="282">
        <f>ROUND((1/11)+(1/11)/3, 3)</f>
        <v>0.121</v>
      </c>
      <c r="G38" s="283">
        <f>ROUND(G$34*F38,2)</f>
        <v>250.49</v>
      </c>
      <c r="H38" s="4"/>
    </row>
    <row r="39" spans="1:8" x14ac:dyDescent="0.2">
      <c r="A39" s="284"/>
      <c r="B39" s="942" t="s">
        <v>39</v>
      </c>
      <c r="C39" s="942"/>
      <c r="D39" s="942"/>
      <c r="E39" s="942"/>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897" t="s">
        <v>41</v>
      </c>
      <c r="B41" s="898"/>
      <c r="C41" s="898"/>
      <c r="D41" s="898"/>
      <c r="E41" s="899"/>
      <c r="F41" s="291">
        <f>ROUND(SUM(F39:F40),4)</f>
        <v>0.27339999999999998</v>
      </c>
      <c r="G41" s="292">
        <f>SUM(G37:G40)</f>
        <v>565.99</v>
      </c>
      <c r="H41" s="4">
        <f>ROUND(G34*F41,2)</f>
        <v>565.99</v>
      </c>
    </row>
    <row r="42" spans="1:8" x14ac:dyDescent="0.2">
      <c r="A42" s="906" t="s">
        <v>118</v>
      </c>
      <c r="B42" s="907"/>
      <c r="C42" s="907"/>
      <c r="D42" s="907"/>
      <c r="E42" s="907"/>
      <c r="F42" s="907"/>
      <c r="G42" s="908"/>
      <c r="H42" s="4"/>
    </row>
    <row r="43" spans="1:8" x14ac:dyDescent="0.2">
      <c r="A43" s="293" t="s">
        <v>28</v>
      </c>
      <c r="B43" s="909" t="s">
        <v>42</v>
      </c>
      <c r="C43" s="910"/>
      <c r="D43" s="910"/>
      <c r="E43" s="943"/>
      <c r="F43" s="294">
        <v>0.2</v>
      </c>
      <c r="G43" s="295">
        <f t="shared" ref="G43:G50" si="0">ROUND(G$34*F43,2)</f>
        <v>414.04</v>
      </c>
      <c r="H43" s="4"/>
    </row>
    <row r="44" spans="1:8" x14ac:dyDescent="0.2">
      <c r="A44" s="156" t="s">
        <v>29</v>
      </c>
      <c r="B44" s="802" t="s">
        <v>43</v>
      </c>
      <c r="C44" s="803"/>
      <c r="D44" s="803"/>
      <c r="E44" s="816"/>
      <c r="F44" s="281">
        <v>2.5000000000000001E-2</v>
      </c>
      <c r="G44" s="95">
        <f t="shared" si="0"/>
        <v>51.75</v>
      </c>
      <c r="H44" s="4"/>
    </row>
    <row r="45" spans="1:8" x14ac:dyDescent="0.2">
      <c r="A45" s="156" t="s">
        <v>30</v>
      </c>
      <c r="B45" s="802" t="s">
        <v>44</v>
      </c>
      <c r="C45" s="803"/>
      <c r="D45" s="803"/>
      <c r="E45" s="816"/>
      <c r="F45" s="588">
        <v>0</v>
      </c>
      <c r="G45" s="95">
        <f t="shared" si="0"/>
        <v>0</v>
      </c>
      <c r="H45" s="4"/>
    </row>
    <row r="46" spans="1:8" x14ac:dyDescent="0.2">
      <c r="A46" s="156" t="s">
        <v>31</v>
      </c>
      <c r="B46" s="802" t="s">
        <v>45</v>
      </c>
      <c r="C46" s="803"/>
      <c r="D46" s="803"/>
      <c r="E46" s="816"/>
      <c r="F46" s="281">
        <v>1.4999999999999999E-2</v>
      </c>
      <c r="G46" s="95">
        <f t="shared" si="0"/>
        <v>31.05</v>
      </c>
      <c r="H46" s="4"/>
    </row>
    <row r="47" spans="1:8" x14ac:dyDescent="0.2">
      <c r="A47" s="156" t="s">
        <v>32</v>
      </c>
      <c r="B47" s="802" t="s">
        <v>46</v>
      </c>
      <c r="C47" s="803"/>
      <c r="D47" s="803"/>
      <c r="E47" s="816"/>
      <c r="F47" s="281">
        <v>0.01</v>
      </c>
      <c r="G47" s="95">
        <f t="shared" si="0"/>
        <v>20.7</v>
      </c>
      <c r="H47" s="4"/>
    </row>
    <row r="48" spans="1:8" x14ac:dyDescent="0.2">
      <c r="A48" s="156" t="s">
        <v>34</v>
      </c>
      <c r="B48" s="802" t="s">
        <v>47</v>
      </c>
      <c r="C48" s="803"/>
      <c r="D48" s="803"/>
      <c r="E48" s="816"/>
      <c r="F48" s="281">
        <v>6.0000000000000001E-3</v>
      </c>
      <c r="G48" s="95">
        <f t="shared" si="0"/>
        <v>12.42</v>
      </c>
      <c r="H48" s="4"/>
    </row>
    <row r="49" spans="1:8" x14ac:dyDescent="0.2">
      <c r="A49" s="156" t="s">
        <v>48</v>
      </c>
      <c r="B49" s="802" t="s">
        <v>49</v>
      </c>
      <c r="C49" s="803"/>
      <c r="D49" s="803"/>
      <c r="E49" s="816"/>
      <c r="F49" s="281">
        <v>2E-3</v>
      </c>
      <c r="G49" s="95">
        <f t="shared" si="0"/>
        <v>4.1399999999999997</v>
      </c>
      <c r="H49" s="4"/>
    </row>
    <row r="50" spans="1:8" x14ac:dyDescent="0.2">
      <c r="A50" s="96" t="s">
        <v>50</v>
      </c>
      <c r="B50" s="928" t="s">
        <v>51</v>
      </c>
      <c r="C50" s="929"/>
      <c r="D50" s="929"/>
      <c r="E50" s="941"/>
      <c r="F50" s="282">
        <v>0.08</v>
      </c>
      <c r="G50" s="283">
        <f t="shared" si="0"/>
        <v>165.61</v>
      </c>
      <c r="H50" s="4"/>
    </row>
    <row r="51" spans="1:8" x14ac:dyDescent="0.2">
      <c r="A51" s="897" t="s">
        <v>52</v>
      </c>
      <c r="B51" s="898"/>
      <c r="C51" s="898"/>
      <c r="D51" s="898"/>
      <c r="E51" s="899"/>
      <c r="F51" s="291">
        <f>SUM(F43:F50)</f>
        <v>0.33800000000000002</v>
      </c>
      <c r="G51" s="292">
        <f>SUM(G43:G50)</f>
        <v>699.71</v>
      </c>
      <c r="H51" s="4">
        <f>ROUND(G34*F51,2)</f>
        <v>699.72</v>
      </c>
    </row>
    <row r="52" spans="1:8" x14ac:dyDescent="0.2">
      <c r="A52" s="906" t="s">
        <v>53</v>
      </c>
      <c r="B52" s="907"/>
      <c r="C52" s="907"/>
      <c r="D52" s="907"/>
      <c r="E52" s="907"/>
      <c r="F52" s="907"/>
      <c r="G52" s="908"/>
      <c r="H52" s="4"/>
    </row>
    <row r="53" spans="1:8" x14ac:dyDescent="0.2">
      <c r="A53" s="296" t="s">
        <v>28</v>
      </c>
      <c r="B53" s="939" t="s">
        <v>54</v>
      </c>
      <c r="C53" s="940"/>
      <c r="D53" s="940"/>
      <c r="E53" s="604">
        <v>0</v>
      </c>
      <c r="F53" s="297">
        <v>42</v>
      </c>
      <c r="G53" s="298">
        <f>IF(ROUND((E53*F53)-(G27*0.06),2)&lt;0,0,ROUND((E53*F53)-(G27*0.06),2))</f>
        <v>0</v>
      </c>
      <c r="H53" s="4"/>
    </row>
    <row r="54" spans="1:8" x14ac:dyDescent="0.2">
      <c r="A54" s="299" t="s">
        <v>29</v>
      </c>
      <c r="B54" s="808" t="s">
        <v>56</v>
      </c>
      <c r="C54" s="809"/>
      <c r="D54" s="809"/>
      <c r="E54" s="300">
        <f>20.76-1.39</f>
        <v>19.37</v>
      </c>
      <c r="F54" s="301">
        <v>21</v>
      </c>
      <c r="G54" s="277">
        <f t="shared" ref="G54:G62" si="1">ROUND((E54*F54),2)</f>
        <v>406.77</v>
      </c>
      <c r="H54" s="4"/>
    </row>
    <row r="55" spans="1:8" x14ac:dyDescent="0.2">
      <c r="A55" s="299" t="s">
        <v>30</v>
      </c>
      <c r="B55" s="808" t="s">
        <v>58</v>
      </c>
      <c r="C55" s="809"/>
      <c r="D55" s="809"/>
      <c r="E55" s="300">
        <v>144.68</v>
      </c>
      <c r="F55" s="301">
        <v>1</v>
      </c>
      <c r="G55" s="277">
        <f t="shared" si="1"/>
        <v>144.68</v>
      </c>
      <c r="H55" s="4"/>
    </row>
    <row r="56" spans="1:8" x14ac:dyDescent="0.2">
      <c r="A56" s="299" t="s">
        <v>31</v>
      </c>
      <c r="B56" s="808" t="s">
        <v>149</v>
      </c>
      <c r="C56" s="809"/>
      <c r="D56" s="809"/>
      <c r="E56" s="300">
        <v>35.33</v>
      </c>
      <c r="F56" s="301">
        <v>1</v>
      </c>
      <c r="G56" s="277">
        <f t="shared" si="1"/>
        <v>35.33</v>
      </c>
      <c r="H56" s="4"/>
    </row>
    <row r="57" spans="1:8" x14ac:dyDescent="0.2">
      <c r="A57" s="299" t="s">
        <v>32</v>
      </c>
      <c r="B57" s="808" t="s">
        <v>179</v>
      </c>
      <c r="C57" s="809"/>
      <c r="D57" s="809"/>
      <c r="E57" s="605">
        <f>ROUND((F18*30%)*5%,2)*0</f>
        <v>0</v>
      </c>
      <c r="F57" s="301">
        <v>1</v>
      </c>
      <c r="G57" s="277">
        <f t="shared" si="1"/>
        <v>0</v>
      </c>
      <c r="H57" s="4"/>
    </row>
    <row r="58" spans="1:8" x14ac:dyDescent="0.2">
      <c r="A58" s="299" t="s">
        <v>34</v>
      </c>
      <c r="B58" s="808" t="s">
        <v>150</v>
      </c>
      <c r="C58" s="809"/>
      <c r="D58" s="809"/>
      <c r="E58" s="300">
        <f>20.76</f>
        <v>20.76</v>
      </c>
      <c r="F58" s="301">
        <v>1</v>
      </c>
      <c r="G58" s="277">
        <f t="shared" si="1"/>
        <v>20.76</v>
      </c>
      <c r="H58" s="4"/>
    </row>
    <row r="59" spans="1:8" x14ac:dyDescent="0.2">
      <c r="A59" s="299" t="s">
        <v>48</v>
      </c>
      <c r="B59" s="808" t="s">
        <v>180</v>
      </c>
      <c r="C59" s="809"/>
      <c r="D59" s="809"/>
      <c r="E59" s="342">
        <f>15.96</f>
        <v>15.96</v>
      </c>
      <c r="F59" s="301">
        <v>1</v>
      </c>
      <c r="G59" s="277">
        <f t="shared" si="1"/>
        <v>15.96</v>
      </c>
      <c r="H59" s="4"/>
    </row>
    <row r="60" spans="1:8" x14ac:dyDescent="0.2">
      <c r="A60" s="299" t="s">
        <v>50</v>
      </c>
      <c r="B60" s="935" t="s">
        <v>253</v>
      </c>
      <c r="C60" s="813"/>
      <c r="D60" s="813"/>
      <c r="E60" s="343">
        <v>300</v>
      </c>
      <c r="F60" s="301">
        <v>1</v>
      </c>
      <c r="G60" s="277">
        <f t="shared" si="1"/>
        <v>300</v>
      </c>
      <c r="H60" s="4"/>
    </row>
    <row r="61" spans="1:8" x14ac:dyDescent="0.2">
      <c r="A61" s="377" t="s">
        <v>151</v>
      </c>
      <c r="B61" s="812" t="s">
        <v>152</v>
      </c>
      <c r="C61" s="813"/>
      <c r="D61" s="813"/>
      <c r="E61" s="343">
        <v>0</v>
      </c>
      <c r="F61" s="301">
        <v>1</v>
      </c>
      <c r="G61" s="277">
        <f t="shared" si="1"/>
        <v>0</v>
      </c>
      <c r="H61" s="4"/>
    </row>
    <row r="62" spans="1:8" x14ac:dyDescent="0.2">
      <c r="A62" s="299" t="s">
        <v>431</v>
      </c>
      <c r="B62" s="936" t="s">
        <v>152</v>
      </c>
      <c r="C62" s="937"/>
      <c r="D62" s="937"/>
      <c r="E62" s="302">
        <v>0</v>
      </c>
      <c r="F62" s="301">
        <v>1</v>
      </c>
      <c r="G62" s="277">
        <f t="shared" si="1"/>
        <v>0</v>
      </c>
      <c r="H62" s="4"/>
    </row>
    <row r="63" spans="1:8" x14ac:dyDescent="0.2">
      <c r="A63" s="938" t="s">
        <v>60</v>
      </c>
      <c r="B63" s="883"/>
      <c r="C63" s="883"/>
      <c r="D63" s="883"/>
      <c r="E63" s="883"/>
      <c r="F63" s="884"/>
      <c r="G63" s="280">
        <f>SUM(G53:G62)+52.42</f>
        <v>975.92</v>
      </c>
      <c r="H63" s="4"/>
    </row>
    <row r="64" spans="1:8" x14ac:dyDescent="0.2">
      <c r="A64" s="890" t="s">
        <v>61</v>
      </c>
      <c r="B64" s="891"/>
      <c r="C64" s="891"/>
      <c r="D64" s="891"/>
      <c r="E64" s="891"/>
      <c r="F64" s="892"/>
      <c r="G64" s="893"/>
      <c r="H64" s="4"/>
    </row>
    <row r="65" spans="1:8" x14ac:dyDescent="0.2">
      <c r="A65" s="303" t="s">
        <v>62</v>
      </c>
      <c r="B65" s="894" t="s">
        <v>63</v>
      </c>
      <c r="C65" s="895"/>
      <c r="D65" s="895"/>
      <c r="E65" s="895"/>
      <c r="F65" s="304">
        <f>F41</f>
        <v>0.27339999999999998</v>
      </c>
      <c r="G65" s="305">
        <f>G41</f>
        <v>565.99</v>
      </c>
      <c r="H65" s="4"/>
    </row>
    <row r="66" spans="1:8" x14ac:dyDescent="0.2">
      <c r="A66" s="306" t="s">
        <v>64</v>
      </c>
      <c r="B66" s="877" t="s">
        <v>128</v>
      </c>
      <c r="C66" s="750"/>
      <c r="D66" s="750"/>
      <c r="E66" s="750"/>
      <c r="F66" s="18">
        <f>F51</f>
        <v>0.33800000000000002</v>
      </c>
      <c r="G66" s="307">
        <f>G51</f>
        <v>699.71</v>
      </c>
      <c r="H66" s="4"/>
    </row>
    <row r="67" spans="1:8" x14ac:dyDescent="0.2">
      <c r="A67" s="306" t="s">
        <v>65</v>
      </c>
      <c r="B67" s="877" t="s">
        <v>66</v>
      </c>
      <c r="C67" s="750"/>
      <c r="D67" s="750"/>
      <c r="E67" s="750"/>
      <c r="F67" s="751"/>
      <c r="G67" s="307">
        <f>G63</f>
        <v>975.92</v>
      </c>
      <c r="H67" s="4"/>
    </row>
    <row r="68" spans="1:8" x14ac:dyDescent="0.2">
      <c r="A68" s="882" t="s">
        <v>67</v>
      </c>
      <c r="B68" s="883"/>
      <c r="C68" s="883"/>
      <c r="D68" s="883"/>
      <c r="E68" s="883"/>
      <c r="F68" s="884"/>
      <c r="G68" s="280">
        <f>SUM(G65:G67)</f>
        <v>2241.62</v>
      </c>
      <c r="H68" s="4"/>
    </row>
    <row r="69" spans="1:8" x14ac:dyDescent="0.2">
      <c r="A69" s="890" t="s">
        <v>68</v>
      </c>
      <c r="B69" s="891"/>
      <c r="C69" s="891"/>
      <c r="D69" s="891"/>
      <c r="E69" s="891"/>
      <c r="F69" s="892"/>
      <c r="G69" s="893"/>
      <c r="H69" s="4"/>
    </row>
    <row r="70" spans="1:8" s="21" customFormat="1" x14ac:dyDescent="0.2">
      <c r="A70" s="272">
        <v>3</v>
      </c>
      <c r="B70" s="308" t="s">
        <v>69</v>
      </c>
      <c r="C70" s="308"/>
      <c r="D70" s="308"/>
      <c r="E70" s="308"/>
      <c r="F70" s="308"/>
      <c r="G70" s="309"/>
      <c r="H70" s="4"/>
    </row>
    <row r="71" spans="1:8" x14ac:dyDescent="0.2">
      <c r="A71" s="310" t="s">
        <v>28</v>
      </c>
      <c r="B71" s="788" t="s">
        <v>70</v>
      </c>
      <c r="C71" s="789"/>
      <c r="D71" s="789"/>
      <c r="E71" s="789"/>
      <c r="F71" s="590">
        <f>ROUND((1/12)*0.05,4)*0</f>
        <v>0</v>
      </c>
      <c r="G71" s="311">
        <f t="shared" ref="G71:G76" si="2">ROUND(G$34*F71,2)</f>
        <v>0</v>
      </c>
      <c r="H71" s="4"/>
    </row>
    <row r="72" spans="1:8" x14ac:dyDescent="0.2">
      <c r="A72" s="312" t="s">
        <v>29</v>
      </c>
      <c r="B72" s="741" t="s">
        <v>71</v>
      </c>
      <c r="C72" s="742"/>
      <c r="D72" s="742"/>
      <c r="E72" s="742"/>
      <c r="F72" s="316">
        <f>ROUND((F71*F50),4)</f>
        <v>0</v>
      </c>
      <c r="G72" s="313">
        <f t="shared" si="2"/>
        <v>0</v>
      </c>
      <c r="H72" s="4"/>
    </row>
    <row r="73" spans="1:8" x14ac:dyDescent="0.2">
      <c r="A73" s="312" t="s">
        <v>30</v>
      </c>
      <c r="B73" s="741" t="s">
        <v>404</v>
      </c>
      <c r="C73" s="742"/>
      <c r="D73" s="742"/>
      <c r="E73" s="742"/>
      <c r="F73" s="592">
        <f>ROUND((0.08*0.4*0.9)*(1+0.09+0.09+0.3),2)*0</f>
        <v>0</v>
      </c>
      <c r="G73" s="313">
        <f t="shared" si="2"/>
        <v>0</v>
      </c>
      <c r="H73" s="4"/>
    </row>
    <row r="74" spans="1:8" x14ac:dyDescent="0.2">
      <c r="A74" s="312" t="s">
        <v>31</v>
      </c>
      <c r="B74" s="741" t="s">
        <v>72</v>
      </c>
      <c r="C74" s="742"/>
      <c r="D74" s="742"/>
      <c r="E74" s="742"/>
      <c r="F74" s="592">
        <f>ROUND(100%/30*7/12*100%,4)*0</f>
        <v>0</v>
      </c>
      <c r="G74" s="313">
        <f t="shared" si="2"/>
        <v>0</v>
      </c>
      <c r="H74" s="4"/>
    </row>
    <row r="75" spans="1:8" s="3" customFormat="1" x14ac:dyDescent="0.2">
      <c r="A75" s="312" t="s">
        <v>32</v>
      </c>
      <c r="B75" s="741" t="s">
        <v>119</v>
      </c>
      <c r="C75" s="742"/>
      <c r="D75" s="742"/>
      <c r="E75" s="742"/>
      <c r="F75" s="316">
        <f>ROUND(F74*F51,4)</f>
        <v>0</v>
      </c>
      <c r="G75" s="313">
        <f t="shared" si="2"/>
        <v>0</v>
      </c>
      <c r="H75" s="4"/>
    </row>
    <row r="76" spans="1:8" x14ac:dyDescent="0.2">
      <c r="A76" s="312" t="s">
        <v>34</v>
      </c>
      <c r="B76" s="791" t="s">
        <v>135</v>
      </c>
      <c r="C76" s="792"/>
      <c r="D76" s="792"/>
      <c r="E76" s="792"/>
      <c r="F76" s="344">
        <v>0</v>
      </c>
      <c r="G76" s="314">
        <f t="shared" si="2"/>
        <v>0</v>
      </c>
      <c r="H76" s="4"/>
    </row>
    <row r="77" spans="1:8" x14ac:dyDescent="0.2">
      <c r="A77" s="882" t="s">
        <v>73</v>
      </c>
      <c r="B77" s="883"/>
      <c r="C77" s="883"/>
      <c r="D77" s="883"/>
      <c r="E77" s="883"/>
      <c r="F77" s="324">
        <f>SUM(F71:F76)</f>
        <v>0</v>
      </c>
      <c r="G77" s="315">
        <f>SUM(G71:G76)</f>
        <v>0</v>
      </c>
      <c r="H77" s="4">
        <f>ROUND(G34*F77,2)</f>
        <v>0</v>
      </c>
    </row>
    <row r="78" spans="1:8" x14ac:dyDescent="0.2">
      <c r="A78" s="890" t="s">
        <v>74</v>
      </c>
      <c r="B78" s="891"/>
      <c r="C78" s="891"/>
      <c r="D78" s="891"/>
      <c r="E78" s="891"/>
      <c r="F78" s="892"/>
      <c r="G78" s="893"/>
      <c r="H78" s="4"/>
    </row>
    <row r="79" spans="1:8" s="21" customFormat="1" x14ac:dyDescent="0.2">
      <c r="A79" s="906" t="s">
        <v>120</v>
      </c>
      <c r="B79" s="907"/>
      <c r="C79" s="907"/>
      <c r="D79" s="907"/>
      <c r="E79" s="907"/>
      <c r="F79" s="907"/>
      <c r="G79" s="908"/>
      <c r="H79" s="4"/>
    </row>
    <row r="80" spans="1:8" x14ac:dyDescent="0.2">
      <c r="A80" s="293" t="s">
        <v>28</v>
      </c>
      <c r="B80" s="933" t="s">
        <v>408</v>
      </c>
      <c r="C80" s="934"/>
      <c r="D80" s="934"/>
      <c r="E80" s="934"/>
      <c r="F80" s="294">
        <v>0</v>
      </c>
      <c r="G80" s="311">
        <f t="shared" ref="G80:G85" si="3">ROUND(G$34*F80,2)</f>
        <v>0</v>
      </c>
      <c r="H80" s="4"/>
    </row>
    <row r="81" spans="1:8" x14ac:dyDescent="0.2">
      <c r="A81" s="156" t="s">
        <v>29</v>
      </c>
      <c r="B81" s="802" t="s">
        <v>121</v>
      </c>
      <c r="C81" s="803"/>
      <c r="D81" s="803"/>
      <c r="E81" s="803"/>
      <c r="F81" s="594">
        <f>ROUND(((1/30)/12)*1,4)*0</f>
        <v>0</v>
      </c>
      <c r="G81" s="313">
        <f t="shared" si="3"/>
        <v>0</v>
      </c>
      <c r="H81" s="4"/>
    </row>
    <row r="82" spans="1:8" x14ac:dyDescent="0.2">
      <c r="A82" s="156" t="s">
        <v>30</v>
      </c>
      <c r="B82" s="802" t="s">
        <v>122</v>
      </c>
      <c r="C82" s="803"/>
      <c r="D82" s="803"/>
      <c r="E82" s="803"/>
      <c r="F82" s="594">
        <f>ROUND((((1/30)/12)*5)*0.02,4)*0</f>
        <v>0</v>
      </c>
      <c r="G82" s="313">
        <f t="shared" si="3"/>
        <v>0</v>
      </c>
      <c r="H82" s="4"/>
    </row>
    <row r="83" spans="1:8" x14ac:dyDescent="0.2">
      <c r="A83" s="156" t="s">
        <v>31</v>
      </c>
      <c r="B83" s="802" t="s">
        <v>123</v>
      </c>
      <c r="C83" s="803"/>
      <c r="D83" s="803"/>
      <c r="E83" s="803"/>
      <c r="F83" s="594">
        <f>ROUND((((1/30)/12)*15)*0.05,4)*0</f>
        <v>0</v>
      </c>
      <c r="G83" s="313">
        <f t="shared" si="3"/>
        <v>0</v>
      </c>
      <c r="H83" s="4"/>
    </row>
    <row r="84" spans="1:8" x14ac:dyDescent="0.2">
      <c r="A84" s="156" t="s">
        <v>32</v>
      </c>
      <c r="B84" s="926" t="s">
        <v>409</v>
      </c>
      <c r="C84" s="927"/>
      <c r="D84" s="927"/>
      <c r="E84" s="927"/>
      <c r="F84" s="281">
        <v>0</v>
      </c>
      <c r="G84" s="313">
        <f t="shared" si="3"/>
        <v>0</v>
      </c>
      <c r="H84" s="4"/>
    </row>
    <row r="85" spans="1:8" x14ac:dyDescent="0.2">
      <c r="A85" s="156" t="s">
        <v>34</v>
      </c>
      <c r="B85" s="928" t="s">
        <v>124</v>
      </c>
      <c r="C85" s="929"/>
      <c r="D85" s="929"/>
      <c r="E85" s="929"/>
      <c r="F85" s="596">
        <f>ROUND((((1/30)/12)*5)*0.5,4)*0</f>
        <v>0</v>
      </c>
      <c r="G85" s="314">
        <f t="shared" si="3"/>
        <v>0</v>
      </c>
      <c r="H85" s="4"/>
    </row>
    <row r="86" spans="1:8" x14ac:dyDescent="0.2">
      <c r="A86" s="911" t="s">
        <v>75</v>
      </c>
      <c r="B86" s="899"/>
      <c r="C86" s="899"/>
      <c r="D86" s="899"/>
      <c r="E86" s="899"/>
      <c r="F86" s="291">
        <f>SUM(F80:F85)</f>
        <v>0</v>
      </c>
      <c r="G86" s="292">
        <f>SUM(G80:G85)</f>
        <v>0</v>
      </c>
      <c r="H86" s="4">
        <f>ROUND(G34*F86,2)</f>
        <v>0</v>
      </c>
    </row>
    <row r="87" spans="1:8" s="21" customFormat="1" x14ac:dyDescent="0.2">
      <c r="A87" s="930" t="s">
        <v>76</v>
      </c>
      <c r="B87" s="931"/>
      <c r="C87" s="931"/>
      <c r="D87" s="931"/>
      <c r="E87" s="931"/>
      <c r="F87" s="931"/>
      <c r="G87" s="932"/>
      <c r="H87" s="4"/>
    </row>
    <row r="88" spans="1:8" x14ac:dyDescent="0.2">
      <c r="A88" s="310" t="s">
        <v>28</v>
      </c>
      <c r="B88" s="788" t="s">
        <v>77</v>
      </c>
      <c r="C88" s="789"/>
      <c r="D88" s="789"/>
      <c r="E88" s="789"/>
      <c r="F88" s="590">
        <f xml:space="preserve"> ROUND((((ROUND((1/11)+(1/11)/3, 3))*4)/12)*1%,4)*0</f>
        <v>0</v>
      </c>
      <c r="G88" s="311">
        <f>ROUND(G$34*F88,2)</f>
        <v>0</v>
      </c>
      <c r="H88" s="4"/>
    </row>
    <row r="89" spans="1:8" x14ac:dyDescent="0.2">
      <c r="A89" s="312" t="s">
        <v>29</v>
      </c>
      <c r="B89" s="741" t="s">
        <v>78</v>
      </c>
      <c r="C89" s="742"/>
      <c r="D89" s="742"/>
      <c r="E89" s="742"/>
      <c r="F89" s="316">
        <f>ROUND(F88*F51,4)</f>
        <v>0</v>
      </c>
      <c r="G89" s="313">
        <f>ROUND(G$34*F89,2)</f>
        <v>0</v>
      </c>
      <c r="H89" s="4"/>
    </row>
    <row r="90" spans="1:8" x14ac:dyDescent="0.2">
      <c r="A90" s="312" t="s">
        <v>30</v>
      </c>
      <c r="B90" s="741" t="s">
        <v>79</v>
      </c>
      <c r="C90" s="742"/>
      <c r="D90" s="742"/>
      <c r="E90" s="742"/>
      <c r="F90" s="592">
        <f>ROUND(ROUND(ROUND(((1+1/12)*4)/12,4)*1%,4)*F51,4)*0</f>
        <v>0</v>
      </c>
      <c r="G90" s="313">
        <f>ROUND(G$34*F90,2)</f>
        <v>0</v>
      </c>
      <c r="H90" s="4"/>
    </row>
    <row r="91" spans="1:8" x14ac:dyDescent="0.2">
      <c r="A91" s="312" t="s">
        <v>31</v>
      </c>
      <c r="B91" s="741" t="s">
        <v>59</v>
      </c>
      <c r="C91" s="742"/>
      <c r="D91" s="742"/>
      <c r="E91" s="742"/>
      <c r="F91" s="316">
        <v>0</v>
      </c>
      <c r="G91" s="314">
        <f>ROUND(G$34*F91,2)</f>
        <v>0</v>
      </c>
      <c r="H91" s="4"/>
    </row>
    <row r="92" spans="1:8" x14ac:dyDescent="0.2">
      <c r="A92" s="912" t="s">
        <v>80</v>
      </c>
      <c r="B92" s="884"/>
      <c r="C92" s="884"/>
      <c r="D92" s="884"/>
      <c r="E92" s="884"/>
      <c r="F92" s="317">
        <f>SUM(F88:F91)</f>
        <v>0</v>
      </c>
      <c r="G92" s="318">
        <f>SUM(G88:G91)</f>
        <v>0</v>
      </c>
      <c r="H92" s="4">
        <f>ROUND(G34*F92,2)</f>
        <v>0</v>
      </c>
    </row>
    <row r="93" spans="1:8" s="21" customFormat="1" x14ac:dyDescent="0.2">
      <c r="A93" s="913" t="s">
        <v>81</v>
      </c>
      <c r="B93" s="914"/>
      <c r="C93" s="914"/>
      <c r="D93" s="914"/>
      <c r="E93" s="914"/>
      <c r="F93" s="914"/>
      <c r="G93" s="915"/>
      <c r="H93" s="4"/>
    </row>
    <row r="94" spans="1:8" x14ac:dyDescent="0.2">
      <c r="A94" s="567" t="s">
        <v>28</v>
      </c>
      <c r="B94" s="916" t="s">
        <v>82</v>
      </c>
      <c r="C94" s="917"/>
      <c r="D94" s="917"/>
      <c r="E94" s="917"/>
      <c r="F94" s="568">
        <f>((1/220)*22)*0</f>
        <v>0</v>
      </c>
      <c r="G94" s="569">
        <f>ROUND(G$34*F94,2)</f>
        <v>0</v>
      </c>
      <c r="H94" s="4"/>
    </row>
    <row r="95" spans="1:8" x14ac:dyDescent="0.2">
      <c r="A95" s="567" t="s">
        <v>29</v>
      </c>
      <c r="B95" s="923" t="s">
        <v>191</v>
      </c>
      <c r="C95" s="924"/>
      <c r="D95" s="924"/>
      <c r="E95" s="925"/>
      <c r="F95" s="570">
        <f>F94*F51</f>
        <v>0</v>
      </c>
      <c r="G95" s="569">
        <f>ROUND(G$34*F95,2)</f>
        <v>0</v>
      </c>
      <c r="H95" s="4"/>
    </row>
    <row r="96" spans="1:8" x14ac:dyDescent="0.2">
      <c r="A96" s="918" t="s">
        <v>83</v>
      </c>
      <c r="B96" s="919"/>
      <c r="C96" s="919"/>
      <c r="D96" s="919"/>
      <c r="E96" s="919"/>
      <c r="F96" s="571">
        <f>SUM(F94:F95)</f>
        <v>0</v>
      </c>
      <c r="G96" s="572">
        <f>SUM(G94:G94)</f>
        <v>0</v>
      </c>
      <c r="H96" s="4">
        <f>ROUND(G34*F96,2)</f>
        <v>0</v>
      </c>
    </row>
    <row r="97" spans="1:9" s="45" customFormat="1" x14ac:dyDescent="0.2">
      <c r="A97" s="906" t="s">
        <v>125</v>
      </c>
      <c r="B97" s="907"/>
      <c r="C97" s="907"/>
      <c r="D97" s="907"/>
      <c r="E97" s="907"/>
      <c r="F97" s="907"/>
      <c r="G97" s="908"/>
      <c r="H97" s="35"/>
    </row>
    <row r="98" spans="1:9" s="34" customFormat="1" x14ac:dyDescent="0.2">
      <c r="A98" s="293" t="s">
        <v>28</v>
      </c>
      <c r="B98" s="909" t="s">
        <v>126</v>
      </c>
      <c r="C98" s="910"/>
      <c r="D98" s="910"/>
      <c r="E98" s="910"/>
      <c r="F98" s="598">
        <f>((((8*13)/12)/220)+((((8*13)/12)/220)*100%))*0</f>
        <v>0</v>
      </c>
      <c r="G98" s="311">
        <f>ROUND(G$34*F98,2)</f>
        <v>0</v>
      </c>
      <c r="H98" s="35"/>
    </row>
    <row r="99" spans="1:9" s="34" customFormat="1" x14ac:dyDescent="0.2">
      <c r="A99" s="293" t="s">
        <v>29</v>
      </c>
      <c r="B99" s="920" t="s">
        <v>191</v>
      </c>
      <c r="C99" s="921"/>
      <c r="D99" s="921"/>
      <c r="E99" s="922"/>
      <c r="F99" s="345">
        <f>F98*F51</f>
        <v>0</v>
      </c>
      <c r="G99" s="311">
        <f>ROUND(G$34*F99,2)</f>
        <v>0</v>
      </c>
      <c r="H99" s="35"/>
    </row>
    <row r="100" spans="1:9" s="34" customFormat="1" x14ac:dyDescent="0.2">
      <c r="A100" s="911" t="s">
        <v>127</v>
      </c>
      <c r="B100" s="899"/>
      <c r="C100" s="899"/>
      <c r="D100" s="899"/>
      <c r="E100" s="899"/>
      <c r="F100" s="291">
        <f>SUM(F98:F99)</f>
        <v>0</v>
      </c>
      <c r="G100" s="292">
        <f>SUM(G98:G98)</f>
        <v>0</v>
      </c>
      <c r="H100" s="35">
        <f>ROUND(G44*F100,2)</f>
        <v>0</v>
      </c>
    </row>
    <row r="101" spans="1:9" x14ac:dyDescent="0.2">
      <c r="A101" s="890" t="s">
        <v>84</v>
      </c>
      <c r="B101" s="891"/>
      <c r="C101" s="891"/>
      <c r="D101" s="891"/>
      <c r="E101" s="891"/>
      <c r="F101" s="892"/>
      <c r="G101" s="893"/>
      <c r="H101" s="4"/>
    </row>
    <row r="102" spans="1:9" x14ac:dyDescent="0.2">
      <c r="A102" s="303" t="s">
        <v>85</v>
      </c>
      <c r="B102" s="894" t="s">
        <v>129</v>
      </c>
      <c r="C102" s="895"/>
      <c r="D102" s="895"/>
      <c r="E102" s="895"/>
      <c r="F102" s="304">
        <f>F86</f>
        <v>0</v>
      </c>
      <c r="G102" s="305">
        <f>G86</f>
        <v>0</v>
      </c>
      <c r="H102" s="4"/>
    </row>
    <row r="103" spans="1:9" x14ac:dyDescent="0.2">
      <c r="A103" s="306" t="s">
        <v>86</v>
      </c>
      <c r="B103" s="877" t="s">
        <v>87</v>
      </c>
      <c r="C103" s="750"/>
      <c r="D103" s="750"/>
      <c r="E103" s="750"/>
      <c r="F103" s="18">
        <f>F92</f>
        <v>0</v>
      </c>
      <c r="G103" s="307">
        <f>G92</f>
        <v>0</v>
      </c>
      <c r="H103" s="4"/>
    </row>
    <row r="104" spans="1:9" x14ac:dyDescent="0.2">
      <c r="A104" s="306" t="s">
        <v>88</v>
      </c>
      <c r="B104" s="877" t="s">
        <v>89</v>
      </c>
      <c r="C104" s="750"/>
      <c r="D104" s="750"/>
      <c r="E104" s="750"/>
      <c r="F104" s="18">
        <f>F96</f>
        <v>0</v>
      </c>
      <c r="G104" s="307">
        <f>G96</f>
        <v>0</v>
      </c>
      <c r="H104" s="4"/>
    </row>
    <row r="105" spans="1:9" x14ac:dyDescent="0.2">
      <c r="A105" s="306" t="s">
        <v>131</v>
      </c>
      <c r="B105" s="879" t="s">
        <v>405</v>
      </c>
      <c r="C105" s="880"/>
      <c r="D105" s="880"/>
      <c r="E105" s="880"/>
      <c r="F105" s="18">
        <f>F100</f>
        <v>0</v>
      </c>
      <c r="G105" s="307">
        <f>G100</f>
        <v>0</v>
      </c>
      <c r="H105" s="4"/>
    </row>
    <row r="106" spans="1:9" x14ac:dyDescent="0.2">
      <c r="A106" s="882" t="s">
        <v>90</v>
      </c>
      <c r="B106" s="883"/>
      <c r="C106" s="883"/>
      <c r="D106" s="883"/>
      <c r="E106" s="883"/>
      <c r="F106" s="884"/>
      <c r="G106" s="280">
        <f>SUM(G102:G105)</f>
        <v>0</v>
      </c>
      <c r="H106" s="4"/>
      <c r="I106" s="319">
        <f>SUM(F100,F96,F92,F86,F77,F65,F66)</f>
        <v>0.61140000000000005</v>
      </c>
    </row>
    <row r="107" spans="1:9" x14ac:dyDescent="0.2">
      <c r="A107" s="890" t="s">
        <v>91</v>
      </c>
      <c r="B107" s="891"/>
      <c r="C107" s="891"/>
      <c r="D107" s="891"/>
      <c r="E107" s="891"/>
      <c r="F107" s="892"/>
      <c r="G107" s="893"/>
      <c r="H107" s="4"/>
    </row>
    <row r="108" spans="1:9" x14ac:dyDescent="0.2">
      <c r="A108" s="310" t="s">
        <v>28</v>
      </c>
      <c r="B108" s="900" t="str">
        <f>'Uniformes e EPI''s'!A5</f>
        <v>UNIFORMES</v>
      </c>
      <c r="C108" s="901"/>
      <c r="D108" s="901"/>
      <c r="E108" s="346">
        <f>'Uniformes e EPI''s'!G17</f>
        <v>0</v>
      </c>
      <c r="F108" s="320">
        <v>1</v>
      </c>
      <c r="G108" s="277">
        <f>ROUND((E108*F108),2)</f>
        <v>0</v>
      </c>
      <c r="H108" s="4"/>
    </row>
    <row r="109" spans="1:9" s="34" customFormat="1" x14ac:dyDescent="0.2">
      <c r="A109" s="156" t="s">
        <v>29</v>
      </c>
      <c r="B109" s="902" t="str">
        <f>'Uniformes e EPI''s'!A19</f>
        <v>EPI's</v>
      </c>
      <c r="C109" s="903"/>
      <c r="D109" s="903"/>
      <c r="E109" s="343">
        <f>'Uniformes e EPI''s'!F39</f>
        <v>0</v>
      </c>
      <c r="F109" s="46">
        <v>1</v>
      </c>
      <c r="G109" s="277">
        <f t="shared" ref="G109:G115" si="4">ROUND((E109*F109),2)</f>
        <v>0</v>
      </c>
      <c r="H109" s="35"/>
    </row>
    <row r="110" spans="1:9" s="34" customFormat="1" x14ac:dyDescent="0.2">
      <c r="A110" s="156" t="s">
        <v>30</v>
      </c>
      <c r="B110" s="741" t="s">
        <v>59</v>
      </c>
      <c r="C110" s="742"/>
      <c r="D110" s="742"/>
      <c r="E110" s="343">
        <v>0</v>
      </c>
      <c r="F110" s="47">
        <v>1</v>
      </c>
      <c r="G110" s="277">
        <f t="shared" si="4"/>
        <v>0</v>
      </c>
      <c r="H110" s="35"/>
    </row>
    <row r="111" spans="1:9" s="34" customFormat="1" x14ac:dyDescent="0.2">
      <c r="A111" s="156" t="s">
        <v>31</v>
      </c>
      <c r="B111" s="741" t="s">
        <v>59</v>
      </c>
      <c r="C111" s="742"/>
      <c r="D111" s="742"/>
      <c r="E111" s="343">
        <v>0</v>
      </c>
      <c r="F111" s="47">
        <v>1</v>
      </c>
      <c r="G111" s="277">
        <f t="shared" si="4"/>
        <v>0</v>
      </c>
      <c r="H111" s="35"/>
    </row>
    <row r="112" spans="1:9" s="34" customFormat="1" x14ac:dyDescent="0.2">
      <c r="A112" s="156" t="s">
        <v>32</v>
      </c>
      <c r="B112" s="741" t="s">
        <v>59</v>
      </c>
      <c r="C112" s="742"/>
      <c r="D112" s="742"/>
      <c r="E112" s="343">
        <v>0</v>
      </c>
      <c r="F112" s="47">
        <v>1</v>
      </c>
      <c r="G112" s="277">
        <f t="shared" si="4"/>
        <v>0</v>
      </c>
      <c r="H112" s="35"/>
    </row>
    <row r="113" spans="1:8" s="34" customFormat="1" x14ac:dyDescent="0.2">
      <c r="A113" s="156" t="s">
        <v>34</v>
      </c>
      <c r="B113" s="741" t="s">
        <v>59</v>
      </c>
      <c r="C113" s="742"/>
      <c r="D113" s="742"/>
      <c r="E113" s="343">
        <v>0</v>
      </c>
      <c r="F113" s="47">
        <v>1</v>
      </c>
      <c r="G113" s="277">
        <f>ROUND((E113*F113)/12,2)</f>
        <v>0</v>
      </c>
      <c r="H113" s="35"/>
    </row>
    <row r="114" spans="1:8" s="34" customFormat="1" x14ac:dyDescent="0.2">
      <c r="A114" s="156" t="s">
        <v>48</v>
      </c>
      <c r="B114" s="741" t="s">
        <v>59</v>
      </c>
      <c r="C114" s="742"/>
      <c r="D114" s="742"/>
      <c r="E114" s="343">
        <v>0</v>
      </c>
      <c r="F114" s="47">
        <v>1</v>
      </c>
      <c r="G114" s="277">
        <f t="shared" si="4"/>
        <v>0</v>
      </c>
      <c r="H114" s="35"/>
    </row>
    <row r="115" spans="1:8" s="34" customFormat="1" x14ac:dyDescent="0.2">
      <c r="A115" s="156" t="s">
        <v>50</v>
      </c>
      <c r="B115" s="904" t="s">
        <v>59</v>
      </c>
      <c r="C115" s="905"/>
      <c r="D115" s="905"/>
      <c r="E115" s="343">
        <v>0</v>
      </c>
      <c r="F115" s="47">
        <v>1</v>
      </c>
      <c r="G115" s="277">
        <f t="shared" si="4"/>
        <v>0</v>
      </c>
      <c r="H115" s="35"/>
    </row>
    <row r="116" spans="1:8" s="34" customFormat="1" x14ac:dyDescent="0.2">
      <c r="A116" s="897" t="s">
        <v>92</v>
      </c>
      <c r="B116" s="898"/>
      <c r="C116" s="898"/>
      <c r="D116" s="898"/>
      <c r="E116" s="898"/>
      <c r="F116" s="899"/>
      <c r="G116" s="280">
        <f>SUM(G108:G115)</f>
        <v>0</v>
      </c>
      <c r="H116" s="35"/>
    </row>
    <row r="117" spans="1:8" x14ac:dyDescent="0.2">
      <c r="A117" s="890" t="s">
        <v>93</v>
      </c>
      <c r="B117" s="891"/>
      <c r="C117" s="891"/>
      <c r="D117" s="891"/>
      <c r="E117" s="891"/>
      <c r="F117" s="892"/>
      <c r="G117" s="893"/>
      <c r="H117" s="4"/>
    </row>
    <row r="118" spans="1:8" s="21" customFormat="1" x14ac:dyDescent="0.2">
      <c r="A118" s="272">
        <v>3</v>
      </c>
      <c r="B118" s="308" t="s">
        <v>94</v>
      </c>
      <c r="C118" s="308"/>
      <c r="D118" s="308"/>
      <c r="E118" s="308"/>
      <c r="F118" s="308"/>
      <c r="G118" s="309"/>
      <c r="H118" s="4"/>
    </row>
    <row r="119" spans="1:8" x14ac:dyDescent="0.2">
      <c r="A119" s="310" t="s">
        <v>28</v>
      </c>
      <c r="B119" s="788" t="s">
        <v>95</v>
      </c>
      <c r="C119" s="789"/>
      <c r="D119" s="789"/>
      <c r="E119" s="789"/>
      <c r="F119" s="601">
        <v>0</v>
      </c>
      <c r="G119" s="295">
        <f>ROUND(G135*F119,2)</f>
        <v>0</v>
      </c>
      <c r="H119" s="4"/>
    </row>
    <row r="120" spans="1:8" x14ac:dyDescent="0.2">
      <c r="A120" s="312" t="s">
        <v>29</v>
      </c>
      <c r="B120" s="741" t="s">
        <v>96</v>
      </c>
      <c r="C120" s="742"/>
      <c r="D120" s="742"/>
      <c r="E120" s="742"/>
      <c r="F120" s="602">
        <v>0</v>
      </c>
      <c r="G120" s="95">
        <f>ROUND(((G135+G119)*F120),2)</f>
        <v>0</v>
      </c>
      <c r="H120" s="4"/>
    </row>
    <row r="121" spans="1:8" x14ac:dyDescent="0.2">
      <c r="A121" s="312" t="s">
        <v>30</v>
      </c>
      <c r="B121" s="766" t="s">
        <v>97</v>
      </c>
      <c r="C121" s="767"/>
      <c r="D121" s="767"/>
      <c r="E121" s="767"/>
      <c r="F121" s="316"/>
      <c r="G121" s="95"/>
      <c r="H121" s="4"/>
    </row>
    <row r="122" spans="1:8" x14ac:dyDescent="0.2">
      <c r="A122" s="312" t="s">
        <v>98</v>
      </c>
      <c r="B122" s="741" t="s">
        <v>99</v>
      </c>
      <c r="C122" s="742"/>
      <c r="D122" s="742"/>
      <c r="E122" s="742"/>
      <c r="F122" s="602">
        <v>0</v>
      </c>
      <c r="G122" s="95">
        <f ca="1">ROUND(G$139*F122,2)</f>
        <v>0</v>
      </c>
      <c r="H122" s="4"/>
    </row>
    <row r="123" spans="1:8" s="3" customFormat="1" x14ac:dyDescent="0.2">
      <c r="A123" s="312" t="s">
        <v>100</v>
      </c>
      <c r="B123" s="741" t="s">
        <v>101</v>
      </c>
      <c r="C123" s="742"/>
      <c r="D123" s="742"/>
      <c r="E123" s="742"/>
      <c r="F123" s="602">
        <v>0</v>
      </c>
      <c r="G123" s="95">
        <f ca="1">ROUND(G$139*F123,2)</f>
        <v>0</v>
      </c>
      <c r="H123" s="4"/>
    </row>
    <row r="124" spans="1:8" x14ac:dyDescent="0.2">
      <c r="A124" s="312" t="s">
        <v>102</v>
      </c>
      <c r="B124" s="741" t="s">
        <v>12</v>
      </c>
      <c r="C124" s="742"/>
      <c r="D124" s="742"/>
      <c r="E124" s="742"/>
      <c r="F124" s="321">
        <v>0.02</v>
      </c>
      <c r="G124" s="95">
        <f ca="1">ROUND(G$139*F124,2)</f>
        <v>88</v>
      </c>
      <c r="H124" s="4"/>
    </row>
    <row r="125" spans="1:8" x14ac:dyDescent="0.2">
      <c r="A125" s="499" t="s">
        <v>158</v>
      </c>
      <c r="B125" s="790" t="s">
        <v>59</v>
      </c>
      <c r="C125" s="742"/>
      <c r="D125" s="742"/>
      <c r="E125" s="874"/>
      <c r="F125" s="115">
        <v>0</v>
      </c>
      <c r="G125" s="95">
        <f ca="1">ROUND(G$139*F125,2)</f>
        <v>0</v>
      </c>
      <c r="H125" s="4"/>
    </row>
    <row r="126" spans="1:8" x14ac:dyDescent="0.2">
      <c r="A126" s="312" t="s">
        <v>486</v>
      </c>
      <c r="B126" s="790" t="s">
        <v>59</v>
      </c>
      <c r="C126" s="742"/>
      <c r="D126" s="742"/>
      <c r="E126" s="874"/>
      <c r="F126" s="321">
        <v>0</v>
      </c>
      <c r="G126" s="95">
        <f ca="1">ROUND(G$139*F126,2)</f>
        <v>0</v>
      </c>
      <c r="H126" s="4"/>
    </row>
    <row r="127" spans="1:8" x14ac:dyDescent="0.2">
      <c r="A127" s="312"/>
      <c r="B127" s="888" t="s">
        <v>103</v>
      </c>
      <c r="C127" s="889"/>
      <c r="D127" s="889"/>
      <c r="E127" s="889"/>
      <c r="F127" s="322">
        <f>SUM(F122:F126)</f>
        <v>0.02</v>
      </c>
      <c r="G127" s="323">
        <f ca="1">SUM(G122:G126)</f>
        <v>88</v>
      </c>
      <c r="H127" s="4">
        <f ca="1">ROUND(G139*F127,2)</f>
        <v>88</v>
      </c>
    </row>
    <row r="128" spans="1:8" x14ac:dyDescent="0.2">
      <c r="A128" s="882" t="s">
        <v>104</v>
      </c>
      <c r="B128" s="883"/>
      <c r="C128" s="883"/>
      <c r="D128" s="883"/>
      <c r="E128" s="883"/>
      <c r="F128" s="324">
        <f>SUM(F119,F120,F127)</f>
        <v>0.02</v>
      </c>
      <c r="G128" s="315">
        <f ca="1">SUM(G119:G126)</f>
        <v>88</v>
      </c>
      <c r="H128" s="4"/>
    </row>
    <row r="129" spans="1:8" x14ac:dyDescent="0.2">
      <c r="A129" s="890" t="s">
        <v>105</v>
      </c>
      <c r="B129" s="891"/>
      <c r="C129" s="891"/>
      <c r="D129" s="891"/>
      <c r="E129" s="891"/>
      <c r="F129" s="892"/>
      <c r="G129" s="893"/>
      <c r="H129" s="4"/>
    </row>
    <row r="130" spans="1:8" x14ac:dyDescent="0.2">
      <c r="A130" s="303" t="s">
        <v>28</v>
      </c>
      <c r="B130" s="894" t="s">
        <v>106</v>
      </c>
      <c r="C130" s="895"/>
      <c r="D130" s="895"/>
      <c r="E130" s="895"/>
      <c r="F130" s="896"/>
      <c r="G130" s="305">
        <f>G34</f>
        <v>2070.1799999999998</v>
      </c>
      <c r="H130" s="4"/>
    </row>
    <row r="131" spans="1:8" x14ac:dyDescent="0.2">
      <c r="A131" s="306" t="s">
        <v>29</v>
      </c>
      <c r="B131" s="877" t="s">
        <v>107</v>
      </c>
      <c r="C131" s="750"/>
      <c r="D131" s="750"/>
      <c r="E131" s="750"/>
      <c r="F131" s="751"/>
      <c r="G131" s="307">
        <f>G68</f>
        <v>2241.62</v>
      </c>
      <c r="H131" s="4"/>
    </row>
    <row r="132" spans="1:8" x14ac:dyDescent="0.2">
      <c r="A132" s="306" t="s">
        <v>30</v>
      </c>
      <c r="B132" s="877" t="s">
        <v>108</v>
      </c>
      <c r="C132" s="750"/>
      <c r="D132" s="750"/>
      <c r="E132" s="750"/>
      <c r="F132" s="751"/>
      <c r="G132" s="307">
        <f>G77</f>
        <v>0</v>
      </c>
      <c r="H132" s="4"/>
    </row>
    <row r="133" spans="1:8" x14ac:dyDescent="0.2">
      <c r="A133" s="306" t="s">
        <v>31</v>
      </c>
      <c r="B133" s="877" t="s">
        <v>109</v>
      </c>
      <c r="C133" s="750"/>
      <c r="D133" s="750"/>
      <c r="E133" s="750"/>
      <c r="F133" s="751"/>
      <c r="G133" s="307">
        <f>G106</f>
        <v>0</v>
      </c>
      <c r="H133" s="4"/>
    </row>
    <row r="134" spans="1:8" x14ac:dyDescent="0.2">
      <c r="A134" s="306" t="s">
        <v>32</v>
      </c>
      <c r="B134" s="877" t="s">
        <v>110</v>
      </c>
      <c r="C134" s="750"/>
      <c r="D134" s="750"/>
      <c r="E134" s="750"/>
      <c r="F134" s="751"/>
      <c r="G134" s="307">
        <f>G116</f>
        <v>0</v>
      </c>
      <c r="H134" s="4"/>
    </row>
    <row r="135" spans="1:8" x14ac:dyDescent="0.2">
      <c r="A135" s="306"/>
      <c r="B135" s="878" t="s">
        <v>111</v>
      </c>
      <c r="C135" s="753"/>
      <c r="D135" s="753"/>
      <c r="E135" s="753"/>
      <c r="F135" s="754"/>
      <c r="G135" s="307">
        <f>SUM(G130:G134)</f>
        <v>4311.8</v>
      </c>
      <c r="H135" s="4"/>
    </row>
    <row r="136" spans="1:8" x14ac:dyDescent="0.2">
      <c r="A136" s="306" t="s">
        <v>34</v>
      </c>
      <c r="B136" s="879" t="s">
        <v>112</v>
      </c>
      <c r="C136" s="880"/>
      <c r="D136" s="880"/>
      <c r="E136" s="880"/>
      <c r="F136" s="881"/>
      <c r="G136" s="307">
        <f ca="1">G128</f>
        <v>88</v>
      </c>
      <c r="H136" s="4"/>
    </row>
    <row r="137" spans="1:8" x14ac:dyDescent="0.2">
      <c r="A137" s="882" t="s">
        <v>113</v>
      </c>
      <c r="B137" s="883"/>
      <c r="C137" s="883"/>
      <c r="D137" s="883"/>
      <c r="E137" s="883"/>
      <c r="F137" s="884"/>
      <c r="G137" s="280">
        <f ca="1">SUM(G135:G136)</f>
        <v>4399.8</v>
      </c>
      <c r="H137" s="4">
        <f ca="1">SUM(G130:G136)-G135</f>
        <v>4399.8</v>
      </c>
    </row>
    <row r="138" spans="1:8" x14ac:dyDescent="0.2">
      <c r="A138" s="885" t="s">
        <v>13</v>
      </c>
      <c r="B138" s="886"/>
      <c r="C138" s="886"/>
      <c r="D138" s="886"/>
      <c r="E138" s="886"/>
      <c r="F138" s="886"/>
      <c r="G138" s="887"/>
      <c r="H138" s="4"/>
    </row>
    <row r="139" spans="1:8" x14ac:dyDescent="0.2">
      <c r="A139" s="325"/>
      <c r="B139" s="326" t="s">
        <v>114</v>
      </c>
      <c r="C139" s="326"/>
      <c r="D139" s="326"/>
      <c r="E139" s="326"/>
      <c r="F139" s="327"/>
      <c r="G139" s="328">
        <f ca="1">G137</f>
        <v>4399.8</v>
      </c>
      <c r="H139" s="4"/>
    </row>
    <row r="140" spans="1:8" x14ac:dyDescent="0.2">
      <c r="A140" s="329"/>
      <c r="B140" s="28" t="s">
        <v>115</v>
      </c>
      <c r="C140" s="28"/>
      <c r="D140" s="28"/>
      <c r="E140" s="28"/>
      <c r="F140" s="29">
        <f>F21</f>
        <v>1</v>
      </c>
      <c r="G140" s="330">
        <f ca="1">G139*F140</f>
        <v>4399.8</v>
      </c>
      <c r="H140" s="4"/>
    </row>
    <row r="141" spans="1:8" x14ac:dyDescent="0.2">
      <c r="A141" s="331"/>
      <c r="B141" s="332" t="s">
        <v>116</v>
      </c>
      <c r="C141" s="332"/>
      <c r="D141" s="332"/>
      <c r="E141" s="332"/>
      <c r="F141" s="333"/>
      <c r="G141" s="334">
        <f>F21*F22</f>
        <v>3</v>
      </c>
      <c r="H141" s="4"/>
    </row>
    <row r="142" spans="1:8" s="31" customFormat="1" x14ac:dyDescent="0.2">
      <c r="A142" s="335"/>
      <c r="B142" s="875" t="s">
        <v>4</v>
      </c>
      <c r="C142" s="875"/>
      <c r="D142" s="875"/>
      <c r="E142" s="875"/>
      <c r="F142" s="30">
        <f>F22</f>
        <v>3</v>
      </c>
      <c r="G142" s="336">
        <f ca="1">G140*F142</f>
        <v>13199.4</v>
      </c>
      <c r="H142" s="4"/>
    </row>
    <row r="143" spans="1:8" s="31" customFormat="1" ht="13.5" thickBot="1" x14ac:dyDescent="0.25">
      <c r="A143" s="337"/>
      <c r="B143" s="876" t="s">
        <v>410</v>
      </c>
      <c r="C143" s="876"/>
      <c r="D143" s="876"/>
      <c r="E143" s="876"/>
      <c r="F143" s="338">
        <v>12</v>
      </c>
      <c r="G143" s="339">
        <f ca="1">G142*F143</f>
        <v>158392.79999999999</v>
      </c>
      <c r="H143" s="4"/>
    </row>
    <row r="144" spans="1:8" x14ac:dyDescent="0.2">
      <c r="F144" s="348"/>
    </row>
    <row r="151" spans="7:7" x14ac:dyDescent="0.2">
      <c r="G151" s="32"/>
    </row>
  </sheetData>
  <mergeCells count="151">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3:E33"/>
    <mergeCell ref="A34:F34"/>
    <mergeCell ref="A35:G35"/>
    <mergeCell ref="A36:G36"/>
    <mergeCell ref="B37:E37"/>
    <mergeCell ref="B38:E38"/>
    <mergeCell ref="B26:E26"/>
    <mergeCell ref="B27:E27"/>
    <mergeCell ref="B28:E28"/>
    <mergeCell ref="B29:E29"/>
    <mergeCell ref="B30:E30"/>
    <mergeCell ref="B32:E32"/>
    <mergeCell ref="B31:E31"/>
    <mergeCell ref="B46:E46"/>
    <mergeCell ref="B47:E47"/>
    <mergeCell ref="B48:E48"/>
    <mergeCell ref="B49:E49"/>
    <mergeCell ref="B50:E50"/>
    <mergeCell ref="A51:E51"/>
    <mergeCell ref="B39:E39"/>
    <mergeCell ref="A41:E41"/>
    <mergeCell ref="A42:G42"/>
    <mergeCell ref="B43:E43"/>
    <mergeCell ref="B44:E44"/>
    <mergeCell ref="B45:E45"/>
    <mergeCell ref="B58:D58"/>
    <mergeCell ref="B59:D59"/>
    <mergeCell ref="B60:D60"/>
    <mergeCell ref="B62:D62"/>
    <mergeCell ref="A63:F63"/>
    <mergeCell ref="A64:G64"/>
    <mergeCell ref="A52:G52"/>
    <mergeCell ref="B53:D53"/>
    <mergeCell ref="B54:D54"/>
    <mergeCell ref="B55:D55"/>
    <mergeCell ref="B56:D56"/>
    <mergeCell ref="B57:D57"/>
    <mergeCell ref="B61:D61"/>
    <mergeCell ref="B72:E72"/>
    <mergeCell ref="B73:E73"/>
    <mergeCell ref="B74:E74"/>
    <mergeCell ref="B75:E75"/>
    <mergeCell ref="B76:E76"/>
    <mergeCell ref="A77:E77"/>
    <mergeCell ref="B65:E65"/>
    <mergeCell ref="B66:E66"/>
    <mergeCell ref="B67:F67"/>
    <mergeCell ref="A68:F68"/>
    <mergeCell ref="A69:G69"/>
    <mergeCell ref="B71:E71"/>
    <mergeCell ref="B84:E84"/>
    <mergeCell ref="B85:E85"/>
    <mergeCell ref="A86:E86"/>
    <mergeCell ref="A87:G87"/>
    <mergeCell ref="B88:E88"/>
    <mergeCell ref="B89:E89"/>
    <mergeCell ref="A78:G78"/>
    <mergeCell ref="A79:G79"/>
    <mergeCell ref="B80:E80"/>
    <mergeCell ref="B81:E81"/>
    <mergeCell ref="B82:E82"/>
    <mergeCell ref="B83:E83"/>
    <mergeCell ref="A96:E96"/>
    <mergeCell ref="A97:G97"/>
    <mergeCell ref="B98:E98"/>
    <mergeCell ref="B99:E99"/>
    <mergeCell ref="A100:E100"/>
    <mergeCell ref="A101:G101"/>
    <mergeCell ref="B90:E90"/>
    <mergeCell ref="B91:E91"/>
    <mergeCell ref="A92:E92"/>
    <mergeCell ref="A93:G93"/>
    <mergeCell ref="B94:E94"/>
    <mergeCell ref="B95:E95"/>
    <mergeCell ref="B108:D108"/>
    <mergeCell ref="B109:D109"/>
    <mergeCell ref="B110:D110"/>
    <mergeCell ref="B111:D111"/>
    <mergeCell ref="B112:D112"/>
    <mergeCell ref="B113:D113"/>
    <mergeCell ref="B102:E102"/>
    <mergeCell ref="B103:E103"/>
    <mergeCell ref="B104:E104"/>
    <mergeCell ref="B105:E105"/>
    <mergeCell ref="A106:F106"/>
    <mergeCell ref="A107:G107"/>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18"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417</v>
      </c>
      <c r="G7" s="863"/>
    </row>
    <row r="8" spans="1:8" ht="19.5" customHeight="1" x14ac:dyDescent="0.2">
      <c r="A8" s="867" t="s">
        <v>146</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v>2025</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419</v>
      </c>
      <c r="G16" s="844"/>
      <c r="H16" s="3"/>
    </row>
    <row r="17" spans="1:8" ht="14.1" customHeight="1" x14ac:dyDescent="0.2">
      <c r="A17" s="827" t="s">
        <v>21</v>
      </c>
      <c r="B17" s="828"/>
      <c r="C17" s="828"/>
      <c r="D17" s="828"/>
      <c r="E17" s="829"/>
      <c r="F17" s="843" t="s">
        <v>422</v>
      </c>
      <c r="G17" s="844"/>
      <c r="H17" s="3"/>
    </row>
    <row r="18" spans="1:8" ht="14.1" customHeight="1" x14ac:dyDescent="0.2">
      <c r="A18" s="827" t="s">
        <v>1</v>
      </c>
      <c r="B18" s="828"/>
      <c r="C18" s="828"/>
      <c r="D18" s="828"/>
      <c r="E18" s="829"/>
      <c r="F18" s="837">
        <v>2247.37</v>
      </c>
      <c r="G18" s="838"/>
    </row>
    <row r="19" spans="1:8" ht="14.1" customHeight="1" x14ac:dyDescent="0.2">
      <c r="A19" s="832" t="s">
        <v>8</v>
      </c>
      <c r="B19" s="833"/>
      <c r="C19" s="833"/>
      <c r="D19" s="833"/>
      <c r="E19" s="834"/>
      <c r="F19" s="839">
        <v>45658</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5.5" customHeight="1" x14ac:dyDescent="0.2">
      <c r="A24" s="873" t="s">
        <v>437</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1" t="s">
        <v>27</v>
      </c>
      <c r="G26" s="88" t="s">
        <v>3</v>
      </c>
    </row>
    <row r="27" spans="1:8" s="34" customFormat="1" x14ac:dyDescent="0.2">
      <c r="A27" s="89" t="s">
        <v>28</v>
      </c>
      <c r="B27" s="822" t="s">
        <v>153</v>
      </c>
      <c r="C27" s="822"/>
      <c r="D27" s="822"/>
      <c r="E27" s="822"/>
      <c r="F27" s="90">
        <v>1</v>
      </c>
      <c r="G27" s="91">
        <f>F18*F27</f>
        <v>2247.37</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0.4</v>
      </c>
      <c r="G29" s="91">
        <f>ROUND(F15*F29,2)</f>
        <v>607.20000000000005</v>
      </c>
      <c r="H29" s="55"/>
    </row>
    <row r="30" spans="1:8" s="34" customFormat="1" x14ac:dyDescent="0.2">
      <c r="A30" s="89" t="s">
        <v>31</v>
      </c>
      <c r="B30" s="820" t="s">
        <v>154</v>
      </c>
      <c r="C30" s="820"/>
      <c r="D30" s="820"/>
      <c r="E30" s="820"/>
      <c r="F30" s="92">
        <v>0</v>
      </c>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2854.57</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237.79</v>
      </c>
      <c r="H37" s="53"/>
    </row>
    <row r="38" spans="1:8" x14ac:dyDescent="0.2">
      <c r="A38" s="96" t="s">
        <v>29</v>
      </c>
      <c r="B38" s="804" t="s">
        <v>157</v>
      </c>
      <c r="C38" s="805"/>
      <c r="D38" s="805"/>
      <c r="E38" s="817"/>
      <c r="F38" s="97">
        <f>ROUND((1/11)+(1/11)/3, 3)</f>
        <v>0.121</v>
      </c>
      <c r="G38" s="8">
        <f>ROUND(G$34*F38,2)</f>
        <v>345.4</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197.25</v>
      </c>
      <c r="H40" s="4"/>
    </row>
    <row r="41" spans="1:8" x14ac:dyDescent="0.2">
      <c r="A41" s="786" t="s">
        <v>41</v>
      </c>
      <c r="B41" s="787"/>
      <c r="C41" s="787"/>
      <c r="D41" s="787"/>
      <c r="E41" s="785"/>
      <c r="F41" s="41">
        <f>ROUND(SUM(F39:F40),4)</f>
        <v>0.27339999999999998</v>
      </c>
      <c r="G41" s="100">
        <f>SUM(G37:G40)</f>
        <v>780.44</v>
      </c>
      <c r="H41" s="4">
        <f>ROUND(G34*F41,2)</f>
        <v>780.44</v>
      </c>
    </row>
    <row r="42" spans="1:8" x14ac:dyDescent="0.2">
      <c r="A42" s="779" t="s">
        <v>118</v>
      </c>
      <c r="B42" s="780"/>
      <c r="C42" s="780"/>
      <c r="D42" s="780"/>
      <c r="E42" s="780"/>
      <c r="F42" s="780"/>
      <c r="G42" s="781"/>
      <c r="H42" s="4">
        <f>SUM(G41,G34)</f>
        <v>3635.01</v>
      </c>
    </row>
    <row r="43" spans="1:8" x14ac:dyDescent="0.2">
      <c r="A43" s="42" t="s">
        <v>28</v>
      </c>
      <c r="B43" s="782" t="s">
        <v>42</v>
      </c>
      <c r="C43" s="783"/>
      <c r="D43" s="783"/>
      <c r="E43" s="819"/>
      <c r="F43" s="43">
        <v>0.2</v>
      </c>
      <c r="G43" s="22">
        <f>ROUND((G$34)*F43,2)</f>
        <v>570.91</v>
      </c>
      <c r="H43" s="4"/>
    </row>
    <row r="44" spans="1:8" x14ac:dyDescent="0.2">
      <c r="A44" s="36" t="s">
        <v>29</v>
      </c>
      <c r="B44" s="802" t="s">
        <v>43</v>
      </c>
      <c r="C44" s="803"/>
      <c r="D44" s="803"/>
      <c r="E44" s="816"/>
      <c r="F44" s="94">
        <v>2.5000000000000001E-2</v>
      </c>
      <c r="G44" s="101">
        <f>ROUND((G$34)*F44,2)</f>
        <v>71.36</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42.82</v>
      </c>
      <c r="H46" s="4"/>
    </row>
    <row r="47" spans="1:8" x14ac:dyDescent="0.2">
      <c r="A47" s="36" t="s">
        <v>32</v>
      </c>
      <c r="B47" s="802" t="s">
        <v>46</v>
      </c>
      <c r="C47" s="803"/>
      <c r="D47" s="803"/>
      <c r="E47" s="816"/>
      <c r="F47" s="94">
        <v>0.01</v>
      </c>
      <c r="G47" s="101">
        <f t="shared" si="0"/>
        <v>28.55</v>
      </c>
      <c r="H47" s="4"/>
    </row>
    <row r="48" spans="1:8" x14ac:dyDescent="0.2">
      <c r="A48" s="36" t="s">
        <v>34</v>
      </c>
      <c r="B48" s="802" t="s">
        <v>47</v>
      </c>
      <c r="C48" s="803"/>
      <c r="D48" s="803"/>
      <c r="E48" s="816"/>
      <c r="F48" s="94">
        <v>6.0000000000000001E-3</v>
      </c>
      <c r="G48" s="101">
        <f t="shared" si="0"/>
        <v>17.13</v>
      </c>
      <c r="H48" s="4"/>
    </row>
    <row r="49" spans="1:8" x14ac:dyDescent="0.2">
      <c r="A49" s="36" t="s">
        <v>48</v>
      </c>
      <c r="B49" s="802" t="s">
        <v>49</v>
      </c>
      <c r="C49" s="803"/>
      <c r="D49" s="803"/>
      <c r="E49" s="816"/>
      <c r="F49" s="94">
        <v>2E-3</v>
      </c>
      <c r="G49" s="101">
        <f t="shared" si="0"/>
        <v>5.71</v>
      </c>
      <c r="H49" s="4"/>
    </row>
    <row r="50" spans="1:8" x14ac:dyDescent="0.2">
      <c r="A50" s="96" t="s">
        <v>50</v>
      </c>
      <c r="B50" s="804" t="s">
        <v>51</v>
      </c>
      <c r="C50" s="805"/>
      <c r="D50" s="805"/>
      <c r="E50" s="817"/>
      <c r="F50" s="97">
        <v>0.08</v>
      </c>
      <c r="G50" s="101">
        <f t="shared" si="0"/>
        <v>228.37</v>
      </c>
      <c r="H50" s="4"/>
    </row>
    <row r="51" spans="1:8" x14ac:dyDescent="0.2">
      <c r="A51" s="786" t="s">
        <v>52</v>
      </c>
      <c r="B51" s="787"/>
      <c r="C51" s="787"/>
      <c r="D51" s="787"/>
      <c r="E51" s="785"/>
      <c r="F51" s="41">
        <f>SUM(F43:F50)</f>
        <v>0.33800000000000002</v>
      </c>
      <c r="G51" s="100">
        <f>SUM(G43:G50)</f>
        <v>964.85</v>
      </c>
      <c r="H51" s="4">
        <f>ROUND(G34*F51,2)</f>
        <v>964.84</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52</v>
      </c>
      <c r="G53" s="14">
        <f>IF(ROUND((E53*F53)-(G27*0.06),2)&lt;0,0,ROUND((E53*F53)-(G27*0.06),2))</f>
        <v>0</v>
      </c>
      <c r="H53" s="35"/>
    </row>
    <row r="54" spans="1:8" s="34" customFormat="1" x14ac:dyDescent="0.2">
      <c r="A54" s="36" t="s">
        <v>29</v>
      </c>
      <c r="B54" s="808" t="s">
        <v>56</v>
      </c>
      <c r="C54" s="809"/>
      <c r="D54" s="809"/>
      <c r="E54" s="102">
        <f>20.76-1.39</f>
        <v>19.37</v>
      </c>
      <c r="F54" s="103">
        <v>26</v>
      </c>
      <c r="G54" s="91">
        <f>ROUND((E54*F54),2)</f>
        <v>503.62</v>
      </c>
      <c r="H54" s="35"/>
    </row>
    <row r="55" spans="1:8" s="34" customFormat="1" x14ac:dyDescent="0.2">
      <c r="A55" s="36" t="s">
        <v>30</v>
      </c>
      <c r="B55" s="808" t="s">
        <v>58</v>
      </c>
      <c r="C55" s="809"/>
      <c r="D55" s="809"/>
      <c r="E55" s="102">
        <v>144.68</v>
      </c>
      <c r="F55" s="103">
        <v>1</v>
      </c>
      <c r="G55" s="91">
        <f>ROUND((E55*F55),2)</f>
        <v>144.68</v>
      </c>
      <c r="H55" s="35"/>
    </row>
    <row r="56" spans="1:8" s="34" customFormat="1" x14ac:dyDescent="0.2">
      <c r="A56" s="36" t="s">
        <v>31</v>
      </c>
      <c r="B56" s="808" t="s">
        <v>149</v>
      </c>
      <c r="C56" s="809"/>
      <c r="D56" s="809"/>
      <c r="E56" s="102">
        <v>35.33</v>
      </c>
      <c r="F56" s="103">
        <v>1</v>
      </c>
      <c r="G56" s="91">
        <f>ROUND((E56*F56),2)</f>
        <v>35.33</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150</v>
      </c>
      <c r="C58" s="809"/>
      <c r="D58" s="809"/>
      <c r="E58" s="102">
        <f>20.76</f>
        <v>20.76</v>
      </c>
      <c r="F58" s="103">
        <v>1</v>
      </c>
      <c r="G58" s="91">
        <f>ROUND((E58*F58)/12,2)</f>
        <v>1.73</v>
      </c>
      <c r="H58" s="35"/>
    </row>
    <row r="59" spans="1:8" s="34" customFormat="1" x14ac:dyDescent="0.2">
      <c r="A59" s="36" t="s">
        <v>48</v>
      </c>
      <c r="B59" s="814" t="s">
        <v>180</v>
      </c>
      <c r="C59" s="815"/>
      <c r="D59" s="815"/>
      <c r="E59" s="102">
        <f>15.96</f>
        <v>15.96</v>
      </c>
      <c r="F59" s="104">
        <v>1</v>
      </c>
      <c r="G59" s="105">
        <f>ROUND((E59*F59),2)</f>
        <v>15.96</v>
      </c>
      <c r="H59" s="35"/>
    </row>
    <row r="60" spans="1:8" s="34" customFormat="1" x14ac:dyDescent="0.2">
      <c r="A60" s="36" t="s">
        <v>50</v>
      </c>
      <c r="B60" s="808" t="s">
        <v>253</v>
      </c>
      <c r="C60" s="809"/>
      <c r="D60" s="809"/>
      <c r="E60" s="102">
        <v>300</v>
      </c>
      <c r="F60" s="103">
        <v>1</v>
      </c>
      <c r="G60" s="91">
        <f>ROUND((E60*F60),2)</f>
        <v>300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1001.32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780.44</v>
      </c>
      <c r="H65" s="4"/>
    </row>
    <row r="66" spans="1:8" x14ac:dyDescent="0.2">
      <c r="A66" s="108" t="s">
        <v>64</v>
      </c>
      <c r="B66" s="749" t="s">
        <v>128</v>
      </c>
      <c r="C66" s="750"/>
      <c r="D66" s="750"/>
      <c r="E66" s="750"/>
      <c r="F66" s="18">
        <f>F51</f>
        <v>0.33800000000000002</v>
      </c>
      <c r="G66" s="109">
        <f>G51</f>
        <v>964.85</v>
      </c>
      <c r="H66" s="4"/>
    </row>
    <row r="67" spans="1:8" x14ac:dyDescent="0.2">
      <c r="A67" s="108" t="s">
        <v>65</v>
      </c>
      <c r="B67" s="749" t="s">
        <v>66</v>
      </c>
      <c r="C67" s="750"/>
      <c r="D67" s="750"/>
      <c r="E67" s="750"/>
      <c r="F67" s="751"/>
      <c r="G67" s="109">
        <f>G63</f>
        <v>1001.32</v>
      </c>
      <c r="H67" s="4"/>
    </row>
    <row r="68" spans="1:8" x14ac:dyDescent="0.2">
      <c r="A68" s="758" t="s">
        <v>67</v>
      </c>
      <c r="B68" s="759"/>
      <c r="C68" s="759"/>
      <c r="D68" s="759"/>
      <c r="E68" s="759"/>
      <c r="F68" s="760"/>
      <c r="G68" s="93">
        <f>SUM(G65:G67)</f>
        <v>2746.61</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EPI''s'!G17</f>
        <v>0</v>
      </c>
      <c r="F108" s="24">
        <v>1</v>
      </c>
      <c r="G108" s="91">
        <f>ROUND(SUM(C108:E108),2)*F108</f>
        <v>0</v>
      </c>
      <c r="H108" s="4"/>
    </row>
    <row r="109" spans="1:8" s="34" customFormat="1" x14ac:dyDescent="0.2">
      <c r="A109" s="36" t="s">
        <v>29</v>
      </c>
      <c r="B109" s="790" t="str">
        <f>'Uniformes e EPI''s'!A19</f>
        <v>EPI's</v>
      </c>
      <c r="C109" s="742"/>
      <c r="D109" s="742"/>
      <c r="E109" s="44">
        <f>'Uniformes e EPI''s'!F39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f>ROUND((E114*F114)/12,2)</f>
        <v>0</v>
      </c>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114.31</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114.31</v>
      </c>
      <c r="H127" s="4">
        <f ca="1">ROUND(G139*F127,2)</f>
        <v>114.31</v>
      </c>
    </row>
    <row r="128" spans="1:8" x14ac:dyDescent="0.2">
      <c r="A128" s="758" t="s">
        <v>104</v>
      </c>
      <c r="B128" s="759"/>
      <c r="C128" s="759"/>
      <c r="D128" s="759"/>
      <c r="E128" s="759"/>
      <c r="F128" s="23">
        <f>SUM(F119,F120,F127)</f>
        <v>0.02</v>
      </c>
      <c r="G128" s="113">
        <f ca="1">SUM(G119:G126)</f>
        <v>114.31</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2854.57</v>
      </c>
      <c r="H130" s="4"/>
    </row>
    <row r="131" spans="1:8" x14ac:dyDescent="0.2">
      <c r="A131" s="108" t="s">
        <v>29</v>
      </c>
      <c r="B131" s="749" t="s">
        <v>107</v>
      </c>
      <c r="C131" s="750"/>
      <c r="D131" s="750"/>
      <c r="E131" s="750"/>
      <c r="F131" s="751"/>
      <c r="G131" s="109">
        <f>G68</f>
        <v>2746.61</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5601.18</v>
      </c>
      <c r="H135" s="4"/>
    </row>
    <row r="136" spans="1:8" x14ac:dyDescent="0.2">
      <c r="A136" s="108" t="s">
        <v>34</v>
      </c>
      <c r="B136" s="755" t="s">
        <v>112</v>
      </c>
      <c r="C136" s="756"/>
      <c r="D136" s="756"/>
      <c r="E136" s="756"/>
      <c r="F136" s="757"/>
      <c r="G136" s="109">
        <f ca="1">G128</f>
        <v>114.31</v>
      </c>
      <c r="H136" s="4"/>
    </row>
    <row r="137" spans="1:8" x14ac:dyDescent="0.2">
      <c r="A137" s="758" t="s">
        <v>113</v>
      </c>
      <c r="B137" s="759"/>
      <c r="C137" s="759"/>
      <c r="D137" s="759"/>
      <c r="E137" s="759"/>
      <c r="F137" s="760"/>
      <c r="G137" s="93">
        <f ca="1">SUM(G135:G136)</f>
        <v>5715.49</v>
      </c>
      <c r="H137" s="4">
        <f ca="1">SUM(G130:G136)-G135</f>
        <v>5715.49</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5715.49</v>
      </c>
      <c r="H139" s="4"/>
    </row>
    <row r="140" spans="1:8" x14ac:dyDescent="0.2">
      <c r="A140" s="118"/>
      <c r="B140" s="607" t="s">
        <v>115</v>
      </c>
      <c r="C140" s="607"/>
      <c r="D140" s="607"/>
      <c r="E140" s="607"/>
      <c r="F140" s="608">
        <f>F21</f>
        <v>1</v>
      </c>
      <c r="G140" s="609">
        <f ca="1">G139*F140</f>
        <v>5715.49</v>
      </c>
      <c r="H140" s="4"/>
    </row>
    <row r="141" spans="1:8" x14ac:dyDescent="0.2">
      <c r="F141" s="352"/>
    </row>
    <row r="148" spans="7:7" x14ac:dyDescent="0.2">
      <c r="G148" s="32"/>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IM192"/>
  <sheetViews>
    <sheetView showGridLines="0" view="pageBreakPreview" topLeftCell="B52" zoomScaleNormal="100" zoomScaleSheetLayoutView="100" workbookViewId="0">
      <selection activeCell="B79" sqref="B79:H79"/>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1037" t="s">
        <v>500</v>
      </c>
      <c r="C1" s="1038"/>
      <c r="D1" s="1038"/>
      <c r="E1" s="1038"/>
      <c r="F1" s="1038"/>
      <c r="G1" s="1038"/>
      <c r="H1" s="1039"/>
      <c r="I1" s="56"/>
      <c r="L1" s="50"/>
    </row>
    <row r="2" spans="2:12" s="33" customFormat="1" ht="26.25" customHeight="1" thickBot="1" x14ac:dyDescent="0.35">
      <c r="B2" s="1040" t="s">
        <v>503</v>
      </c>
      <c r="C2" s="1041"/>
      <c r="D2" s="1041"/>
      <c r="E2" s="1041"/>
      <c r="F2" s="1041"/>
      <c r="G2" s="1041"/>
      <c r="H2" s="1042"/>
      <c r="I2" s="56"/>
      <c r="L2" s="50"/>
    </row>
    <row r="3" spans="2:12" s="33" customFormat="1" ht="38.25" customHeight="1" thickBot="1" x14ac:dyDescent="0.35">
      <c r="B3" s="1043" t="s">
        <v>394</v>
      </c>
      <c r="C3" s="1044"/>
      <c r="D3" s="1044"/>
      <c r="E3" s="1044"/>
      <c r="F3" s="1044"/>
      <c r="G3" s="1044"/>
      <c r="H3" s="1045"/>
      <c r="I3" s="56"/>
      <c r="J3" s="1014"/>
      <c r="K3" s="1014"/>
      <c r="L3" s="50"/>
    </row>
    <row r="4" spans="2:12" ht="15.95" customHeight="1" x14ac:dyDescent="0.3">
      <c r="B4" s="1032" t="s">
        <v>159</v>
      </c>
      <c r="C4" s="1033"/>
      <c r="D4" s="1033"/>
      <c r="E4" s="1033"/>
      <c r="F4" s="1033"/>
      <c r="G4" s="1033"/>
      <c r="H4" s="1034"/>
    </row>
    <row r="5" spans="2:12" ht="15.95" customHeight="1" thickBot="1" x14ac:dyDescent="0.35">
      <c r="B5" s="1032"/>
      <c r="C5" s="1033"/>
      <c r="D5" s="1033"/>
      <c r="E5" s="1033"/>
      <c r="F5" s="1033"/>
      <c r="G5" s="1033"/>
      <c r="H5" s="1034"/>
    </row>
    <row r="6" spans="2:12" ht="15.95" customHeight="1" thickBot="1" x14ac:dyDescent="0.35">
      <c r="B6" s="158" t="s">
        <v>174</v>
      </c>
      <c r="C6" s="1055" t="s">
        <v>417</v>
      </c>
      <c r="D6" s="1056"/>
      <c r="E6" s="1056"/>
      <c r="F6" s="1056"/>
      <c r="G6" s="1056"/>
      <c r="H6" s="1057"/>
    </row>
    <row r="7" spans="2:12" ht="48.6" customHeight="1" thickBot="1" x14ac:dyDescent="0.35">
      <c r="B7" s="137" t="s">
        <v>193</v>
      </c>
      <c r="C7" s="159" t="s">
        <v>173</v>
      </c>
      <c r="D7" s="159" t="s">
        <v>176</v>
      </c>
      <c r="E7" s="159" t="s">
        <v>243</v>
      </c>
      <c r="F7" s="160" t="s">
        <v>464</v>
      </c>
      <c r="G7" s="81"/>
      <c r="H7" s="71"/>
    </row>
    <row r="8" spans="2:12" ht="15.95" customHeight="1" x14ac:dyDescent="0.3">
      <c r="B8" s="141" t="s">
        <v>236</v>
      </c>
      <c r="C8" s="142">
        <v>659.73</v>
      </c>
      <c r="D8" s="143">
        <v>800</v>
      </c>
      <c r="E8" s="144">
        <f t="shared" ref="E8:E13" si="0">C8/D8</f>
        <v>0.82</v>
      </c>
      <c r="F8" s="1026">
        <f>ROUNDDOWN(SUM(E8:E12),0)</f>
        <v>10</v>
      </c>
      <c r="G8" s="1015"/>
      <c r="H8" s="71"/>
    </row>
    <row r="9" spans="2:12" ht="15.95" customHeight="1" x14ac:dyDescent="0.3">
      <c r="B9" s="161" t="s">
        <v>247</v>
      </c>
      <c r="C9" s="59">
        <v>51518.09</v>
      </c>
      <c r="D9" s="162">
        <v>6000</v>
      </c>
      <c r="E9" s="163">
        <f t="shared" si="0"/>
        <v>8.59</v>
      </c>
      <c r="F9" s="1027"/>
      <c r="G9" s="1015"/>
      <c r="H9" s="71"/>
    </row>
    <row r="10" spans="2:12" ht="15.95" customHeight="1" x14ac:dyDescent="0.3">
      <c r="B10" s="161" t="s">
        <v>414</v>
      </c>
      <c r="C10" s="164">
        <v>165.42</v>
      </c>
      <c r="D10" s="162">
        <v>300</v>
      </c>
      <c r="E10" s="163">
        <f t="shared" si="0"/>
        <v>0.55000000000000004</v>
      </c>
      <c r="F10" s="1027"/>
      <c r="G10" s="1015"/>
      <c r="H10" s="71"/>
    </row>
    <row r="11" spans="2:12" ht="15.95" customHeight="1" x14ac:dyDescent="0.3">
      <c r="B11" s="340" t="s">
        <v>238</v>
      </c>
      <c r="C11" s="201">
        <v>117.49</v>
      </c>
      <c r="D11" s="202">
        <v>200</v>
      </c>
      <c r="E11" s="163">
        <f t="shared" si="0"/>
        <v>0.59</v>
      </c>
      <c r="F11" s="1027"/>
      <c r="G11" s="1015"/>
      <c r="H11" s="71"/>
    </row>
    <row r="12" spans="2:12" ht="15.95" customHeight="1" thickBot="1" x14ac:dyDescent="0.35">
      <c r="B12" s="165" t="s">
        <v>411</v>
      </c>
      <c r="C12" s="166">
        <v>0</v>
      </c>
      <c r="D12" s="167">
        <v>200</v>
      </c>
      <c r="E12" s="341">
        <f t="shared" si="0"/>
        <v>0</v>
      </c>
      <c r="F12" s="1028"/>
      <c r="G12" s="1015"/>
      <c r="H12" s="71"/>
    </row>
    <row r="13" spans="2:12" ht="15.95" customHeight="1" thickBot="1" x14ac:dyDescent="0.35">
      <c r="B13" s="138" t="s">
        <v>237</v>
      </c>
      <c r="C13" s="59">
        <v>30896</v>
      </c>
      <c r="D13" s="139">
        <v>15000</v>
      </c>
      <c r="E13" s="140">
        <f t="shared" si="0"/>
        <v>2.06</v>
      </c>
      <c r="F13" s="354">
        <f>ROUND((E13),0)</f>
        <v>2</v>
      </c>
      <c r="G13" s="353"/>
      <c r="H13" s="71"/>
      <c r="I13" s="145"/>
    </row>
    <row r="14" spans="2:12" ht="15.95" customHeight="1" x14ac:dyDescent="0.3">
      <c r="B14" s="1018" t="s">
        <v>175</v>
      </c>
      <c r="C14" s="1019"/>
      <c r="D14" s="1019"/>
      <c r="E14" s="1019"/>
      <c r="F14" s="168">
        <f>'Agente de Higienização_CEBAU'!F22</f>
        <v>9</v>
      </c>
      <c r="G14" s="125"/>
      <c r="H14" s="71"/>
    </row>
    <row r="15" spans="2:12" ht="15.95" customHeight="1" x14ac:dyDescent="0.3">
      <c r="B15" s="1020" t="s">
        <v>216</v>
      </c>
      <c r="C15" s="1021"/>
      <c r="D15" s="1021"/>
      <c r="E15" s="1021"/>
      <c r="F15" s="169">
        <f>Jardineiro_CEBAU!F22</f>
        <v>1</v>
      </c>
      <c r="G15" s="126"/>
      <c r="H15" s="71"/>
    </row>
    <row r="16" spans="2:12" ht="15.95" customHeight="1" x14ac:dyDescent="0.3">
      <c r="B16" s="1029" t="s">
        <v>420</v>
      </c>
      <c r="C16" s="1030"/>
      <c r="D16" s="1030"/>
      <c r="E16" s="1031"/>
      <c r="F16" s="270">
        <f>Tratorista_CEBAU!F22</f>
        <v>1</v>
      </c>
      <c r="G16" s="126"/>
      <c r="H16" s="71"/>
    </row>
    <row r="17" spans="2:8" ht="15.95" customHeight="1" x14ac:dyDescent="0.3">
      <c r="B17" s="1029" t="str">
        <f>'Ajud. de Serv. Diversos_CEARA'!F16</f>
        <v>Ajudante de Serviços Diversos</v>
      </c>
      <c r="C17" s="1030"/>
      <c r="D17" s="1030"/>
      <c r="E17" s="1031"/>
      <c r="F17" s="270">
        <f>'Ajud. de Serv. Diversos_CEBAU'!F22</f>
        <v>3</v>
      </c>
      <c r="G17" s="126"/>
      <c r="H17" s="71"/>
    </row>
    <row r="18" spans="2:8" ht="15.95" customHeight="1" x14ac:dyDescent="0.3">
      <c r="B18" s="1029" t="s">
        <v>419</v>
      </c>
      <c r="C18" s="1030"/>
      <c r="D18" s="1030"/>
      <c r="E18" s="1031"/>
      <c r="F18" s="270">
        <f>Encarregado_CEBAU!F22</f>
        <v>1</v>
      </c>
      <c r="G18" s="126"/>
      <c r="H18" s="71"/>
    </row>
    <row r="19" spans="2:8" ht="15.95" customHeight="1" thickBot="1" x14ac:dyDescent="0.35">
      <c r="B19" s="1022" t="s">
        <v>472</v>
      </c>
      <c r="C19" s="1023"/>
      <c r="D19" s="1023"/>
      <c r="E19" s="1023"/>
      <c r="F19" s="152">
        <f>SUM(F14:F18)</f>
        <v>15</v>
      </c>
      <c r="G19" s="127"/>
      <c r="H19" s="71"/>
    </row>
    <row r="20" spans="2:8" ht="15.95" customHeight="1" thickBot="1" x14ac:dyDescent="0.35">
      <c r="B20" s="170"/>
      <c r="C20" s="58"/>
      <c r="D20" s="57"/>
      <c r="E20" s="58"/>
      <c r="F20" s="58"/>
      <c r="G20" s="58"/>
      <c r="H20" s="71"/>
    </row>
    <row r="21" spans="2:8" ht="29.45" customHeight="1" thickBot="1" x14ac:dyDescent="0.35">
      <c r="B21" s="82" t="s">
        <v>194</v>
      </c>
      <c r="C21" s="171" t="s">
        <v>178</v>
      </c>
      <c r="D21" s="81"/>
      <c r="E21" s="81"/>
      <c r="F21" s="58"/>
      <c r="G21" s="58"/>
      <c r="H21" s="71"/>
    </row>
    <row r="22" spans="2:8" ht="15.95" customHeight="1" x14ac:dyDescent="0.3">
      <c r="B22" s="172" t="str">
        <f>'Agente de Higienização_CEBAU'!F16</f>
        <v>Agente de Higienização</v>
      </c>
      <c r="C22" s="173">
        <f ca="1">'Agente de Higienização_CEBAU'!G140</f>
        <v>4843.7299999999996</v>
      </c>
      <c r="D22" s="80"/>
      <c r="E22" s="80"/>
      <c r="F22" s="58"/>
      <c r="G22" s="58"/>
      <c r="H22" s="73"/>
    </row>
    <row r="23" spans="2:8" ht="15.95" customHeight="1" x14ac:dyDescent="0.3">
      <c r="B23" s="172" t="str">
        <f>Jardineiro_CEBAU!F16</f>
        <v>Jardineiro</v>
      </c>
      <c r="C23" s="173">
        <f ca="1">Jardineiro_CEBAU!G140</f>
        <v>3836.86</v>
      </c>
      <c r="D23" s="80"/>
      <c r="E23" s="80"/>
      <c r="F23" s="58"/>
      <c r="G23" s="58"/>
      <c r="H23" s="73"/>
    </row>
    <row r="24" spans="2:8" ht="15.95" customHeight="1" x14ac:dyDescent="0.3">
      <c r="B24" s="172" t="str">
        <f>Tratorista_CEBAU!F16</f>
        <v>Tratorista</v>
      </c>
      <c r="C24" s="173">
        <f ca="1">Tratorista_CEBAU!G140</f>
        <v>4197.93</v>
      </c>
      <c r="D24" s="80"/>
      <c r="E24" s="80"/>
      <c r="F24" s="58"/>
      <c r="G24" s="58"/>
      <c r="H24" s="73"/>
    </row>
    <row r="25" spans="2:8" ht="15.95" customHeight="1" x14ac:dyDescent="0.3">
      <c r="B25" s="172" t="str">
        <f>'Ajud. de Serv. Diversos_CEBAU'!F16</f>
        <v>Ajudante de Serviços Diversos</v>
      </c>
      <c r="C25" s="173">
        <f ca="1">'Ajud. de Serv. Diversos_CEBAU'!G142</f>
        <v>13199.4</v>
      </c>
      <c r="D25" s="80"/>
      <c r="E25" s="80"/>
      <c r="F25" s="58"/>
      <c r="G25" s="58"/>
      <c r="H25" s="73"/>
    </row>
    <row r="26" spans="2:8" ht="15.95" customHeight="1" thickBot="1" x14ac:dyDescent="0.35">
      <c r="B26" s="398" t="str">
        <f>Encarregado_CEBAU!F16</f>
        <v>Encarregado</v>
      </c>
      <c r="C26" s="395">
        <f ca="1">Encarregado_CEBAU!G140</f>
        <v>5715.49</v>
      </c>
      <c r="D26" s="80"/>
      <c r="E26" s="80"/>
      <c r="F26" s="58"/>
      <c r="G26" s="58"/>
      <c r="H26" s="73"/>
    </row>
    <row r="27" spans="2:8" ht="15.95" customHeight="1" thickBot="1" x14ac:dyDescent="0.35">
      <c r="B27" s="170"/>
      <c r="C27" s="58"/>
      <c r="D27" s="57"/>
      <c r="E27" s="58"/>
      <c r="F27" s="58"/>
      <c r="G27" s="58"/>
      <c r="H27" s="71"/>
    </row>
    <row r="28" spans="2:8" ht="28.5" customHeight="1" thickBot="1" x14ac:dyDescent="0.35">
      <c r="B28" s="174" t="s">
        <v>165</v>
      </c>
      <c r="C28" s="175" t="s">
        <v>177</v>
      </c>
      <c r="D28" s="175" t="s">
        <v>172</v>
      </c>
      <c r="E28" s="175" t="s">
        <v>171</v>
      </c>
      <c r="F28" s="58"/>
      <c r="G28" s="58"/>
      <c r="H28" s="71"/>
    </row>
    <row r="29" spans="2:8" s="60" customFormat="1" ht="15.95" customHeight="1" x14ac:dyDescent="0.3">
      <c r="B29" s="176" t="s">
        <v>163</v>
      </c>
      <c r="C29" s="177"/>
      <c r="D29" s="177"/>
      <c r="E29" s="178"/>
      <c r="F29" s="58"/>
      <c r="G29" s="58"/>
      <c r="H29" s="71"/>
    </row>
    <row r="30" spans="2:8" s="60" customFormat="1" ht="15.95" customHeight="1" x14ac:dyDescent="0.3">
      <c r="B30" s="172" t="str">
        <f>B22</f>
        <v>Agente de Higienização</v>
      </c>
      <c r="C30" s="500">
        <f>ROUND(1/(26*D8),9)</f>
        <v>4.8077000000000001E-5</v>
      </c>
      <c r="D30" s="61">
        <f ca="1">C22</f>
        <v>4843.7299999999996</v>
      </c>
      <c r="E30" s="77">
        <f ca="1">ROUND(D30*C30,2)</f>
        <v>0.23</v>
      </c>
      <c r="F30" s="58"/>
      <c r="G30" s="58"/>
      <c r="H30" s="71"/>
    </row>
    <row r="31" spans="2:8" s="60" customFormat="1" ht="15.95" customHeight="1" x14ac:dyDescent="0.3">
      <c r="B31" s="378" t="str">
        <f>B26</f>
        <v>Encarregado</v>
      </c>
      <c r="C31" s="500">
        <f>ROUND(1/(26*D8),9)</f>
        <v>4.8077000000000001E-5</v>
      </c>
      <c r="D31" s="379">
        <f ca="1">C26</f>
        <v>5715.49</v>
      </c>
      <c r="E31" s="77">
        <f ca="1">ROUND(D31*C31,2)</f>
        <v>0.27</v>
      </c>
      <c r="F31" s="58"/>
      <c r="G31" s="58"/>
      <c r="H31" s="71"/>
    </row>
    <row r="32" spans="2:8" s="60" customFormat="1" ht="15.95" customHeight="1" thickBot="1" x14ac:dyDescent="0.35">
      <c r="B32" s="179"/>
      <c r="C32" s="1024" t="s">
        <v>170</v>
      </c>
      <c r="D32" s="1025"/>
      <c r="E32" s="180">
        <f ca="1">SUM(E30:E31)</f>
        <v>0.5</v>
      </c>
      <c r="F32" s="58"/>
      <c r="G32" s="58"/>
      <c r="H32" s="71"/>
    </row>
    <row r="33" spans="2:8" s="60" customFormat="1" ht="30.75" customHeight="1" thickBot="1" x14ac:dyDescent="0.35">
      <c r="B33" s="174" t="s">
        <v>165</v>
      </c>
      <c r="C33" s="175" t="s">
        <v>177</v>
      </c>
      <c r="D33" s="175" t="s">
        <v>172</v>
      </c>
      <c r="E33" s="175" t="s">
        <v>171</v>
      </c>
      <c r="F33" s="58"/>
      <c r="G33" s="58"/>
      <c r="H33" s="71"/>
    </row>
    <row r="34" spans="2:8" s="60" customFormat="1" ht="15.95" customHeight="1" x14ac:dyDescent="0.3">
      <c r="B34" s="176" t="s">
        <v>161</v>
      </c>
      <c r="C34" s="177"/>
      <c r="D34" s="177"/>
      <c r="E34" s="178"/>
      <c r="F34" s="58"/>
      <c r="G34" s="58"/>
      <c r="H34" s="71"/>
    </row>
    <row r="35" spans="2:8" s="60" customFormat="1" ht="15.95" customHeight="1" x14ac:dyDescent="0.3">
      <c r="B35" s="172" t="str">
        <f>B22</f>
        <v>Agente de Higienização</v>
      </c>
      <c r="C35" s="500">
        <f>ROUND(1/(4*D$9),9)</f>
        <v>4.1666999999999999E-5</v>
      </c>
      <c r="D35" s="61">
        <f ca="1">C22</f>
        <v>4843.7299999999996</v>
      </c>
      <c r="E35" s="77">
        <f ca="1">ROUND(D35*C35,2)</f>
        <v>0.2</v>
      </c>
      <c r="F35" s="58"/>
      <c r="G35" s="58"/>
      <c r="H35" s="71"/>
    </row>
    <row r="36" spans="2:8" s="60" customFormat="1" ht="15.95" customHeight="1" x14ac:dyDescent="0.3">
      <c r="B36" s="380" t="str">
        <f>B26</f>
        <v>Encarregado</v>
      </c>
      <c r="C36" s="500">
        <f>ROUND(1/(26*D$9),9)</f>
        <v>6.4099999999999996E-6</v>
      </c>
      <c r="D36" s="381">
        <f ca="1">C26</f>
        <v>5715.49</v>
      </c>
      <c r="E36" s="366">
        <f ca="1">ROUND(D36*C36,2)</f>
        <v>0.04</v>
      </c>
      <c r="F36" s="58"/>
      <c r="G36" s="58"/>
      <c r="H36" s="71"/>
    </row>
    <row r="37" spans="2:8" s="60" customFormat="1" ht="15.95" customHeight="1" thickBot="1" x14ac:dyDescent="0.35">
      <c r="B37" s="364"/>
      <c r="C37" s="1058" t="s">
        <v>169</v>
      </c>
      <c r="D37" s="1059"/>
      <c r="E37" s="365">
        <f ca="1">SUM(E35:E36)</f>
        <v>0.24</v>
      </c>
      <c r="F37" s="58"/>
      <c r="G37" s="58"/>
      <c r="H37" s="71"/>
    </row>
    <row r="38" spans="2:8" s="60" customFormat="1" ht="15.95" customHeight="1" x14ac:dyDescent="0.3">
      <c r="B38" s="133" t="s">
        <v>239</v>
      </c>
      <c r="C38" s="64"/>
      <c r="D38" s="64"/>
      <c r="E38" s="362"/>
      <c r="F38" s="58"/>
      <c r="G38" s="58"/>
      <c r="H38" s="71"/>
    </row>
    <row r="39" spans="2:8" s="60" customFormat="1" ht="15.95" customHeight="1" x14ac:dyDescent="0.3">
      <c r="B39" s="172" t="str">
        <f>B22</f>
        <v>Agente de Higienização</v>
      </c>
      <c r="C39" s="181">
        <f>ROUND(1/(26*D11),9)</f>
        <v>1.92308E-4</v>
      </c>
      <c r="D39" s="182">
        <f ca="1">C22</f>
        <v>4843.7299999999996</v>
      </c>
      <c r="E39" s="62">
        <f ca="1">ROUND(D39*C39,2)</f>
        <v>0.93</v>
      </c>
      <c r="F39" s="58"/>
      <c r="G39" s="58"/>
      <c r="H39" s="71"/>
    </row>
    <row r="40" spans="2:8" s="60" customFormat="1" ht="15.95" customHeight="1" x14ac:dyDescent="0.3">
      <c r="B40" s="382" t="str">
        <f>B26</f>
        <v>Encarregado</v>
      </c>
      <c r="C40" s="181">
        <f>ROUND(1/(26*D11),9)</f>
        <v>1.92308E-4</v>
      </c>
      <c r="D40" s="383">
        <f ca="1">C26</f>
        <v>5715.49</v>
      </c>
      <c r="E40" s="62">
        <f ca="1">ROUND(D40*C40,2)</f>
        <v>1.1000000000000001</v>
      </c>
      <c r="F40" s="58"/>
      <c r="G40" s="58"/>
      <c r="H40" s="71"/>
    </row>
    <row r="41" spans="2:8" s="63" customFormat="1" ht="15.95" customHeight="1" thickBot="1" x14ac:dyDescent="0.35">
      <c r="B41" s="179"/>
      <c r="C41" s="1024" t="s">
        <v>240</v>
      </c>
      <c r="D41" s="1025"/>
      <c r="E41" s="183">
        <f ca="1">SUM(E39:E40)</f>
        <v>2.0299999999999998</v>
      </c>
      <c r="F41" s="58"/>
      <c r="G41" s="58"/>
      <c r="H41" s="71"/>
    </row>
    <row r="42" spans="2:8" s="506" customFormat="1" ht="15.95" customHeight="1" x14ac:dyDescent="0.3">
      <c r="B42" s="507" t="s">
        <v>412</v>
      </c>
      <c r="C42" s="508"/>
      <c r="D42" s="508"/>
      <c r="E42" s="509"/>
      <c r="F42" s="510"/>
      <c r="G42" s="510"/>
      <c r="H42" s="511"/>
    </row>
    <row r="43" spans="2:8" s="506" customFormat="1" ht="15.95" customHeight="1" x14ac:dyDescent="0.3">
      <c r="B43" s="512" t="str">
        <f>B22</f>
        <v>Agente de Higienização</v>
      </c>
      <c r="C43" s="513">
        <f>ROUND(1/(26*D12),9)*0</f>
        <v>0</v>
      </c>
      <c r="D43" s="514">
        <f ca="1">C22</f>
        <v>4843.7299999999996</v>
      </c>
      <c r="E43" s="515">
        <f ca="1">ROUND(D43*C43,2)</f>
        <v>0</v>
      </c>
      <c r="F43" s="510"/>
      <c r="G43" s="510"/>
      <c r="H43" s="511"/>
    </row>
    <row r="44" spans="2:8" s="506" customFormat="1" ht="15.95" customHeight="1" x14ac:dyDescent="0.3">
      <c r="B44" s="516" t="str">
        <f>B26</f>
        <v>Encarregado</v>
      </c>
      <c r="C44" s="513">
        <f>ROUND(1/(26*D12),9)*0</f>
        <v>0</v>
      </c>
      <c r="D44" s="517">
        <f ca="1">C26</f>
        <v>5715.49</v>
      </c>
      <c r="E44" s="518">
        <f ca="1">ROUND(D44*C44,2)</f>
        <v>0</v>
      </c>
      <c r="F44" s="510"/>
      <c r="G44" s="510"/>
      <c r="H44" s="511"/>
    </row>
    <row r="45" spans="2:8" s="506" customFormat="1" ht="15.95" customHeight="1" thickBot="1" x14ac:dyDescent="0.35">
      <c r="B45" s="519"/>
      <c r="C45" s="1060" t="s">
        <v>240</v>
      </c>
      <c r="D45" s="1061"/>
      <c r="E45" s="520">
        <f ca="1">SUM(E43:E44)</f>
        <v>0</v>
      </c>
      <c r="F45" s="510"/>
      <c r="G45" s="510"/>
      <c r="H45" s="511"/>
    </row>
    <row r="46" spans="2:8" s="60" customFormat="1" ht="15.95" customHeight="1" thickBot="1" x14ac:dyDescent="0.35">
      <c r="B46" s="184"/>
      <c r="C46" s="58"/>
      <c r="D46" s="57"/>
      <c r="E46" s="58"/>
      <c r="F46" s="57"/>
      <c r="G46" s="58"/>
      <c r="H46" s="71"/>
    </row>
    <row r="47" spans="2:8" s="60" customFormat="1" ht="15.95" customHeight="1" thickBot="1" x14ac:dyDescent="0.35">
      <c r="B47" s="1016" t="s">
        <v>165</v>
      </c>
      <c r="C47" s="1017" t="s">
        <v>177</v>
      </c>
      <c r="D47" s="1017" t="s">
        <v>244</v>
      </c>
      <c r="E47" s="1017" t="s">
        <v>245</v>
      </c>
      <c r="F47" s="1017" t="s">
        <v>168</v>
      </c>
      <c r="G47" s="1017" t="s">
        <v>167</v>
      </c>
      <c r="H47" s="1048" t="s">
        <v>166</v>
      </c>
    </row>
    <row r="48" spans="2:8" s="60" customFormat="1" ht="36" customHeight="1" thickBot="1" x14ac:dyDescent="0.35">
      <c r="B48" s="1016"/>
      <c r="C48" s="1017"/>
      <c r="D48" s="1017"/>
      <c r="E48" s="1017"/>
      <c r="F48" s="1017"/>
      <c r="G48" s="1017"/>
      <c r="H48" s="1048"/>
    </row>
    <row r="49" spans="1:247" s="60" customFormat="1" ht="15.95" customHeight="1" x14ac:dyDescent="0.3">
      <c r="B49" s="185" t="s">
        <v>310</v>
      </c>
      <c r="C49" s="186"/>
      <c r="D49" s="186"/>
      <c r="E49" s="186"/>
      <c r="F49" s="186"/>
      <c r="G49" s="186"/>
      <c r="H49" s="187"/>
    </row>
    <row r="50" spans="1:247" s="60" customFormat="1" ht="15.95" customHeight="1" x14ac:dyDescent="0.3">
      <c r="B50" s="74" t="str">
        <f>B22</f>
        <v>Agente de Higienização</v>
      </c>
      <c r="C50" s="181">
        <f>ROUND(1/D10,9)</f>
        <v>3.333333E-3</v>
      </c>
      <c r="D50" s="188">
        <f>ROUNDUP(((C10/D10)*8),0)</f>
        <v>5</v>
      </c>
      <c r="E50" s="189">
        <f>ROUND(1/188.76,9)</f>
        <v>5.2977329999999998E-3</v>
      </c>
      <c r="F50" s="190">
        <f>ROUND(((C50)*(E50)*(D50)),9)</f>
        <v>8.8295999999999996E-5</v>
      </c>
      <c r="G50" s="191">
        <f ca="1">C22</f>
        <v>4843.7299999999996</v>
      </c>
      <c r="H50" s="192">
        <f ca="1">ROUND(G50*F50,2)</f>
        <v>0.43</v>
      </c>
    </row>
    <row r="51" spans="1:247" s="60" customFormat="1" ht="15.95" customHeight="1" x14ac:dyDescent="0.3">
      <c r="B51" s="371" t="str">
        <f>B26</f>
        <v>Encarregado</v>
      </c>
      <c r="C51" s="181">
        <f>ROUND(1/(26*D10),9)</f>
        <v>1.28205E-4</v>
      </c>
      <c r="D51" s="188">
        <f>ROUNDUP(((C10/D10)*8),0)</f>
        <v>5</v>
      </c>
      <c r="E51" s="390">
        <f>ROUND(1/188.76,9)</f>
        <v>5.2977329999999998E-3</v>
      </c>
      <c r="F51" s="391">
        <f>ROUND(((C51)*(E51)*(D51)),9)</f>
        <v>3.3960000000000002E-6</v>
      </c>
      <c r="G51" s="373">
        <f ca="1">C26</f>
        <v>5715.49</v>
      </c>
      <c r="H51" s="192">
        <f ca="1">ROUND(G51*F51,2)</f>
        <v>0.02</v>
      </c>
    </row>
    <row r="52" spans="1:247" s="60" customFormat="1" ht="15.95" customHeight="1" thickBot="1" x14ac:dyDescent="0.35">
      <c r="B52" s="386"/>
      <c r="C52" s="387"/>
      <c r="D52" s="387"/>
      <c r="E52" s="387"/>
      <c r="F52" s="387"/>
      <c r="G52" s="388" t="s">
        <v>311</v>
      </c>
      <c r="H52" s="389">
        <f ca="1">ROUND(SUM(H50:H51),2)</f>
        <v>0.45</v>
      </c>
    </row>
    <row r="53" spans="1:247" s="66" customFormat="1" ht="15.95" customHeight="1" thickBot="1" x14ac:dyDescent="0.35">
      <c r="A53" s="131"/>
      <c r="B53" s="197"/>
      <c r="C53" s="129"/>
      <c r="D53" s="129"/>
      <c r="E53" s="129"/>
      <c r="F53" s="129"/>
      <c r="G53" s="130"/>
      <c r="H53" s="132"/>
    </row>
    <row r="54" spans="1:247" s="60" customFormat="1" ht="39" thickBot="1" x14ac:dyDescent="0.35">
      <c r="B54" s="174" t="s">
        <v>165</v>
      </c>
      <c r="C54" s="175" t="s">
        <v>177</v>
      </c>
      <c r="D54" s="175" t="s">
        <v>172</v>
      </c>
      <c r="E54" s="175" t="s">
        <v>171</v>
      </c>
      <c r="F54" s="58"/>
      <c r="G54" s="58"/>
      <c r="H54" s="71"/>
    </row>
    <row r="55" spans="1:247" s="60" customFormat="1" ht="15.95" customHeight="1" x14ac:dyDescent="0.3">
      <c r="B55" s="176" t="s">
        <v>241</v>
      </c>
      <c r="C55" s="177"/>
      <c r="D55" s="177"/>
      <c r="E55" s="178"/>
      <c r="F55" s="58"/>
      <c r="G55" s="58"/>
      <c r="H55" s="71"/>
    </row>
    <row r="56" spans="1:247" s="63" customFormat="1" ht="15.95" customHeight="1" x14ac:dyDescent="0.3">
      <c r="B56" s="460" t="str">
        <f>B23</f>
        <v>Jardineiro</v>
      </c>
      <c r="C56" s="461">
        <f>ROUND(1/(D13),9)</f>
        <v>6.6667000000000004E-5</v>
      </c>
      <c r="D56" s="462">
        <f ca="1">C23</f>
        <v>3836.86</v>
      </c>
      <c r="E56" s="463">
        <f ca="1">ROUND(D56*C56,2)</f>
        <v>0.26</v>
      </c>
      <c r="F56" s="58"/>
      <c r="G56" s="58"/>
      <c r="H56" s="71"/>
    </row>
    <row r="57" spans="1:247" s="63" customFormat="1" ht="15.95" customHeight="1" x14ac:dyDescent="0.3">
      <c r="B57" s="457" t="str">
        <f>B24</f>
        <v>Tratorista</v>
      </c>
      <c r="C57" s="461">
        <f>ROUND(1/(D13),9)</f>
        <v>6.6667000000000004E-5</v>
      </c>
      <c r="D57" s="458">
        <f ca="1">C24</f>
        <v>4197.93</v>
      </c>
      <c r="E57" s="463">
        <f ca="1">ROUND(D57*C57,2)</f>
        <v>0.28000000000000003</v>
      </c>
      <c r="F57" s="58"/>
      <c r="G57" s="58"/>
      <c r="H57" s="71"/>
    </row>
    <row r="58" spans="1:247" s="63" customFormat="1" ht="15.95" customHeight="1" x14ac:dyDescent="0.3">
      <c r="B58" s="457" t="str">
        <f>B26</f>
        <v>Encarregado</v>
      </c>
      <c r="C58" s="461">
        <f>ROUND(1/(26*D13),9)</f>
        <v>2.5639999999999999E-6</v>
      </c>
      <c r="D58" s="458">
        <f ca="1">C26</f>
        <v>5715.49</v>
      </c>
      <c r="E58" s="463">
        <f ca="1">ROUND(D58*C58,2)</f>
        <v>0.01</v>
      </c>
      <c r="F58" s="58"/>
      <c r="G58" s="58"/>
      <c r="H58" s="71"/>
    </row>
    <row r="59" spans="1:247" s="60" customFormat="1" ht="15.95" customHeight="1" thickBot="1" x14ac:dyDescent="0.35">
      <c r="A59" s="65"/>
      <c r="B59" s="384"/>
      <c r="C59" s="1066" t="s">
        <v>246</v>
      </c>
      <c r="D59" s="1067"/>
      <c r="E59" s="456">
        <f ca="1">SUM(E56:E58)</f>
        <v>0.55000000000000004</v>
      </c>
      <c r="F59" s="129"/>
      <c r="G59" s="130"/>
      <c r="H59" s="128"/>
    </row>
    <row r="60" spans="1:247" s="60" customFormat="1" ht="15.95" customHeight="1" thickBot="1" x14ac:dyDescent="0.35">
      <c r="A60" s="65"/>
      <c r="B60" s="170"/>
      <c r="C60" s="58"/>
      <c r="D60" s="58"/>
      <c r="E60" s="58"/>
      <c r="F60" s="58"/>
      <c r="G60" s="58"/>
      <c r="H60" s="71"/>
    </row>
    <row r="61" spans="1:247" s="60" customFormat="1" ht="15.95" customHeight="1" thickBot="1" x14ac:dyDescent="0.35">
      <c r="B61" s="1049" t="s">
        <v>165</v>
      </c>
      <c r="C61" s="1046" t="s">
        <v>164</v>
      </c>
      <c r="D61" s="1051" t="s">
        <v>248</v>
      </c>
      <c r="E61" s="1046" t="s">
        <v>249</v>
      </c>
      <c r="F61" s="1046" t="s">
        <v>471</v>
      </c>
      <c r="G61" s="1053" t="s">
        <v>461</v>
      </c>
      <c r="H61" s="71"/>
    </row>
    <row r="62" spans="1:247" s="60" customFormat="1" ht="29.45" customHeight="1" thickBot="1" x14ac:dyDescent="0.35">
      <c r="B62" s="1050"/>
      <c r="C62" s="1047"/>
      <c r="D62" s="1052"/>
      <c r="E62" s="1047"/>
      <c r="F62" s="1047"/>
      <c r="G62" s="1054"/>
      <c r="H62" s="71"/>
      <c r="IF62" s="66"/>
      <c r="IG62" s="66"/>
      <c r="IH62" s="66"/>
      <c r="II62" s="66"/>
      <c r="IJ62" s="66"/>
      <c r="IK62" s="66"/>
      <c r="IL62" s="66"/>
      <c r="IM62" s="66"/>
    </row>
    <row r="63" spans="1:247" s="60" customFormat="1" ht="15.95" customHeight="1" x14ac:dyDescent="0.3">
      <c r="B63" s="133" t="s">
        <v>163</v>
      </c>
      <c r="C63" s="67">
        <f ca="1">E32</f>
        <v>0.5</v>
      </c>
      <c r="D63" s="68">
        <f t="shared" ref="D63:D68" si="1">C8</f>
        <v>659.73</v>
      </c>
      <c r="E63" s="198">
        <f t="shared" ref="E63:E68" ca="1" si="2">ROUND(D63*C63,2)</f>
        <v>329.87</v>
      </c>
      <c r="F63" s="68">
        <f>D63*12</f>
        <v>7916.76</v>
      </c>
      <c r="G63" s="200">
        <f ca="1">E63*12</f>
        <v>3958.44</v>
      </c>
      <c r="H63" s="72"/>
      <c r="IE63" s="66"/>
      <c r="IF63" s="66"/>
      <c r="IG63" s="66"/>
      <c r="IH63" s="66"/>
      <c r="II63" s="66"/>
      <c r="IJ63" s="66"/>
      <c r="IK63" s="66"/>
      <c r="IL63" s="66"/>
    </row>
    <row r="64" spans="1:247" s="60" customFormat="1" ht="15.95" customHeight="1" x14ac:dyDescent="0.3">
      <c r="B64" s="157" t="s">
        <v>161</v>
      </c>
      <c r="C64" s="67">
        <f ca="1">E37</f>
        <v>0.24</v>
      </c>
      <c r="D64" s="68">
        <f t="shared" si="1"/>
        <v>51518.09</v>
      </c>
      <c r="E64" s="198">
        <f t="shared" ca="1" si="2"/>
        <v>12364.34</v>
      </c>
      <c r="F64" s="68">
        <f t="shared" ref="F64:G68" si="3">D64*12</f>
        <v>618217.07999999996</v>
      </c>
      <c r="G64" s="200">
        <f t="shared" ca="1" si="3"/>
        <v>148372.07999999999</v>
      </c>
      <c r="H64" s="72"/>
      <c r="IE64" s="66"/>
      <c r="IF64" s="66"/>
      <c r="IG64" s="66"/>
      <c r="IH64" s="66"/>
      <c r="II64" s="66"/>
      <c r="IJ64" s="66"/>
      <c r="IK64" s="66"/>
      <c r="IL64" s="66"/>
    </row>
    <row r="65" spans="1:10" s="60" customFormat="1" ht="15.95" customHeight="1" x14ac:dyDescent="0.3">
      <c r="B65" s="157" t="s">
        <v>413</v>
      </c>
      <c r="C65" s="67">
        <f ca="1">H52</f>
        <v>0.45</v>
      </c>
      <c r="D65" s="68">
        <f t="shared" si="1"/>
        <v>165.42</v>
      </c>
      <c r="E65" s="198">
        <f t="shared" ca="1" si="2"/>
        <v>74.44</v>
      </c>
      <c r="F65" s="68">
        <f t="shared" si="3"/>
        <v>1985.04</v>
      </c>
      <c r="G65" s="200">
        <f t="shared" ca="1" si="3"/>
        <v>893.28</v>
      </c>
      <c r="H65" s="72"/>
    </row>
    <row r="66" spans="1:10" s="60" customFormat="1" ht="15.95" customHeight="1" x14ac:dyDescent="0.3">
      <c r="B66" s="157" t="s">
        <v>239</v>
      </c>
      <c r="C66" s="67">
        <f ca="1">E41</f>
        <v>2.0299999999999998</v>
      </c>
      <c r="D66" s="68">
        <f t="shared" si="1"/>
        <v>117.49</v>
      </c>
      <c r="E66" s="198">
        <f t="shared" ca="1" si="2"/>
        <v>238.5</v>
      </c>
      <c r="F66" s="68">
        <f t="shared" si="3"/>
        <v>1409.88</v>
      </c>
      <c r="G66" s="200">
        <f t="shared" ca="1" si="3"/>
        <v>2862</v>
      </c>
      <c r="H66" s="72"/>
    </row>
    <row r="67" spans="1:10" s="60" customFormat="1" ht="15.95" customHeight="1" x14ac:dyDescent="0.3">
      <c r="B67" s="157" t="s">
        <v>412</v>
      </c>
      <c r="C67" s="67">
        <f ca="1">E45</f>
        <v>0</v>
      </c>
      <c r="D67" s="68">
        <f t="shared" si="1"/>
        <v>0</v>
      </c>
      <c r="E67" s="198">
        <f t="shared" ca="1" si="2"/>
        <v>0</v>
      </c>
      <c r="F67" s="68">
        <f t="shared" si="3"/>
        <v>0</v>
      </c>
      <c r="G67" s="200">
        <f t="shared" ca="1" si="3"/>
        <v>0</v>
      </c>
      <c r="H67" s="72"/>
    </row>
    <row r="68" spans="1:10" s="60" customFormat="1" ht="15.95" customHeight="1" x14ac:dyDescent="0.3">
      <c r="B68" s="157" t="s">
        <v>242</v>
      </c>
      <c r="C68" s="67">
        <f ca="1">E59</f>
        <v>0.55000000000000004</v>
      </c>
      <c r="D68" s="68">
        <f t="shared" si="1"/>
        <v>30896</v>
      </c>
      <c r="E68" s="198">
        <f t="shared" ca="1" si="2"/>
        <v>16992.8</v>
      </c>
      <c r="F68" s="68">
        <f t="shared" si="3"/>
        <v>370752</v>
      </c>
      <c r="G68" s="200">
        <f t="shared" ca="1" si="3"/>
        <v>203913.60000000001</v>
      </c>
      <c r="H68" s="72"/>
      <c r="I68" s="149"/>
    </row>
    <row r="69" spans="1:10" s="60" customFormat="1" ht="15.95" customHeight="1" x14ac:dyDescent="0.3">
      <c r="A69" s="69" t="s">
        <v>162</v>
      </c>
      <c r="B69" s="1064" t="s">
        <v>416</v>
      </c>
      <c r="C69" s="1065"/>
      <c r="D69" s="1065"/>
      <c r="E69" s="1065"/>
      <c r="F69" s="1065"/>
      <c r="G69" s="446">
        <f ca="1">SUM(E63:E68)</f>
        <v>29999.95</v>
      </c>
      <c r="H69" s="71"/>
    </row>
    <row r="70" spans="1:10" s="60" customFormat="1" ht="15.95" customHeight="1" thickBot="1" x14ac:dyDescent="0.35">
      <c r="A70" s="63"/>
      <c r="B70" s="1062" t="s">
        <v>473</v>
      </c>
      <c r="C70" s="1063"/>
      <c r="D70" s="1063"/>
      <c r="E70" s="1063"/>
      <c r="F70" s="1063"/>
      <c r="G70" s="444">
        <f ca="1">G69*12</f>
        <v>359999.4</v>
      </c>
      <c r="H70" s="71"/>
      <c r="I70" s="150"/>
      <c r="J70" s="151"/>
    </row>
    <row r="71" spans="1:10" s="60" customFormat="1" ht="15.95" customHeight="1" x14ac:dyDescent="0.3">
      <c r="A71" s="63"/>
      <c r="B71" s="993" t="s">
        <v>452</v>
      </c>
      <c r="C71" s="994"/>
      <c r="D71" s="994"/>
      <c r="E71" s="994"/>
      <c r="F71" s="994"/>
      <c r="G71" s="427">
        <f>'Insumos Diversos'!F136</f>
        <v>0</v>
      </c>
      <c r="H71" s="71"/>
      <c r="I71" s="150"/>
      <c r="J71" s="151"/>
    </row>
    <row r="72" spans="1:10" s="60" customFormat="1" ht="15.95" customHeight="1" thickBot="1" x14ac:dyDescent="0.35">
      <c r="A72" s="63"/>
      <c r="B72" s="989" t="s">
        <v>459</v>
      </c>
      <c r="C72" s="990"/>
      <c r="D72" s="990"/>
      <c r="E72" s="990"/>
      <c r="F72" s="990"/>
      <c r="G72" s="428">
        <f>G71*12</f>
        <v>0</v>
      </c>
      <c r="H72" s="71"/>
      <c r="I72" s="150"/>
      <c r="J72" s="151"/>
    </row>
    <row r="73" spans="1:10" s="60" customFormat="1" ht="15.95" customHeight="1" x14ac:dyDescent="0.3">
      <c r="A73" s="63"/>
      <c r="B73" s="1068" t="str">
        <f>'Ajud. de Serv. Diversos_CEBAU'!F16</f>
        <v>Ajudante de Serviços Diversos</v>
      </c>
      <c r="C73" s="1069"/>
      <c r="D73" s="1069"/>
      <c r="E73" s="1069"/>
      <c r="F73" s="1069"/>
      <c r="G73" s="447">
        <f ca="1">'Ajud. de Serv. Diversos_CEBAU'!G142</f>
        <v>13199.4</v>
      </c>
      <c r="H73" s="71"/>
      <c r="I73" s="150"/>
      <c r="J73" s="151"/>
    </row>
    <row r="74" spans="1:10" s="60" customFormat="1" ht="15.95" customHeight="1" thickBot="1" x14ac:dyDescent="0.35">
      <c r="A74" s="63"/>
      <c r="B74" s="1070" t="s">
        <v>474</v>
      </c>
      <c r="C74" s="1071"/>
      <c r="D74" s="1071"/>
      <c r="E74" s="1071"/>
      <c r="F74" s="1071"/>
      <c r="G74" s="392">
        <f ca="1">G73*12</f>
        <v>158392.79999999999</v>
      </c>
      <c r="H74" s="71"/>
      <c r="I74" s="150"/>
      <c r="J74" s="151"/>
    </row>
    <row r="75" spans="1:10" s="60" customFormat="1" ht="15.95" customHeight="1" x14ac:dyDescent="0.3">
      <c r="A75" s="63"/>
      <c r="B75" s="991" t="s">
        <v>456</v>
      </c>
      <c r="C75" s="992"/>
      <c r="D75" s="992"/>
      <c r="E75" s="992"/>
      <c r="F75" s="992"/>
      <c r="G75" s="448">
        <f ca="1">SUM(G69,G71,G73)</f>
        <v>43199.35</v>
      </c>
      <c r="H75" s="71"/>
      <c r="I75" s="150"/>
      <c r="J75" s="151"/>
    </row>
    <row r="76" spans="1:10" s="60" customFormat="1" ht="15.95" customHeight="1" thickBot="1" x14ac:dyDescent="0.35">
      <c r="A76" s="63"/>
      <c r="B76" s="987" t="s">
        <v>457</v>
      </c>
      <c r="C76" s="988"/>
      <c r="D76" s="988"/>
      <c r="E76" s="988"/>
      <c r="F76" s="988"/>
      <c r="G76" s="443">
        <f ca="1">G75*12</f>
        <v>518392.2</v>
      </c>
      <c r="H76" s="71"/>
      <c r="I76" s="150"/>
      <c r="J76" s="151"/>
    </row>
    <row r="77" spans="1:10" s="60" customFormat="1" ht="15.95" customHeight="1" x14ac:dyDescent="0.3">
      <c r="B77" s="199" t="s">
        <v>160</v>
      </c>
      <c r="C77" s="58"/>
      <c r="D77" s="58"/>
      <c r="E77" s="58"/>
      <c r="F77" s="58"/>
      <c r="G77" s="58"/>
      <c r="H77" s="71"/>
    </row>
    <row r="78" spans="1:10" s="60" customFormat="1" ht="15.95" customHeight="1" x14ac:dyDescent="0.3">
      <c r="B78" s="1002" t="s">
        <v>252</v>
      </c>
      <c r="C78" s="1003"/>
      <c r="D78" s="1003"/>
      <c r="E78" s="1003"/>
      <c r="F78" s="1003"/>
      <c r="G78" s="1003"/>
      <c r="H78" s="1004"/>
    </row>
    <row r="79" spans="1:10" s="60" customFormat="1" ht="22.5" customHeight="1" x14ac:dyDescent="0.3">
      <c r="B79" s="1005" t="s">
        <v>415</v>
      </c>
      <c r="C79" s="1006"/>
      <c r="D79" s="1006"/>
      <c r="E79" s="1006"/>
      <c r="F79" s="1006"/>
      <c r="G79" s="1006"/>
      <c r="H79" s="1007"/>
    </row>
    <row r="80" spans="1:10" s="60" customFormat="1" ht="30.75" customHeight="1" x14ac:dyDescent="0.3">
      <c r="B80" s="1008" t="s">
        <v>316</v>
      </c>
      <c r="C80" s="1009"/>
      <c r="D80" s="1009"/>
      <c r="E80" s="1009"/>
      <c r="F80" s="1009"/>
      <c r="G80" s="1009"/>
      <c r="H80" s="1010"/>
    </row>
    <row r="81" spans="1:8" s="60" customFormat="1" ht="15.95" customHeight="1" x14ac:dyDescent="0.3">
      <c r="B81" s="1011" t="s">
        <v>192</v>
      </c>
      <c r="C81" s="1012"/>
      <c r="D81" s="1012"/>
      <c r="E81" s="1012"/>
      <c r="F81" s="1012"/>
      <c r="G81" s="1012"/>
      <c r="H81" s="1013"/>
    </row>
    <row r="82" spans="1:8" s="60" customFormat="1" ht="35.25" customHeight="1" thickBot="1" x14ac:dyDescent="0.35">
      <c r="B82" s="999" t="s">
        <v>213</v>
      </c>
      <c r="C82" s="1000"/>
      <c r="D82" s="1000"/>
      <c r="E82" s="1000"/>
      <c r="F82" s="1000"/>
      <c r="G82" s="1000"/>
      <c r="H82" s="1001"/>
    </row>
    <row r="83" spans="1:8" s="60" customFormat="1" ht="15.95" customHeight="1" x14ac:dyDescent="0.3">
      <c r="A83" s="70"/>
      <c r="B83" s="355"/>
      <c r="C83" s="355"/>
      <c r="D83" s="355"/>
      <c r="E83" s="355"/>
      <c r="F83" s="355"/>
      <c r="G83" s="355"/>
      <c r="H83" s="356"/>
    </row>
    <row r="84" spans="1:8" s="60" customFormat="1" ht="15.95" customHeight="1" x14ac:dyDescent="0.3">
      <c r="A84" s="70"/>
    </row>
    <row r="85" spans="1:8" s="60" customFormat="1" ht="15.95" customHeight="1" x14ac:dyDescent="0.3">
      <c r="A85" s="70"/>
    </row>
    <row r="86" spans="1:8" s="60" customFormat="1" ht="15.95" customHeight="1" x14ac:dyDescent="0.3">
      <c r="A86" s="70"/>
    </row>
    <row r="87" spans="1:8" s="60" customFormat="1" ht="15.95" customHeight="1" x14ac:dyDescent="0.3">
      <c r="A87" s="70"/>
    </row>
    <row r="88" spans="1:8" s="60" customFormat="1" ht="15.95" customHeight="1" x14ac:dyDescent="0.3">
      <c r="A88" s="70"/>
    </row>
    <row r="89" spans="1:8" s="60" customFormat="1" ht="15.95" customHeight="1" x14ac:dyDescent="0.3">
      <c r="A89" s="70"/>
    </row>
    <row r="90" spans="1:8" s="60" customFormat="1" ht="15.95" customHeight="1" x14ac:dyDescent="0.3">
      <c r="A90" s="70"/>
    </row>
    <row r="91" spans="1:8" s="60" customFormat="1" ht="15.95" customHeight="1" x14ac:dyDescent="0.3">
      <c r="A91" s="70"/>
      <c r="B91" s="56"/>
      <c r="C91" s="56"/>
      <c r="D91" s="56"/>
      <c r="E91" s="56"/>
      <c r="F91" s="56"/>
    </row>
    <row r="92" spans="1:8" s="60" customFormat="1" ht="15.95" customHeight="1" x14ac:dyDescent="0.3">
      <c r="B92" s="56"/>
      <c r="C92" s="56"/>
      <c r="D92" s="56"/>
      <c r="E92" s="56"/>
      <c r="F92" s="56"/>
      <c r="G92" s="56"/>
    </row>
    <row r="93" spans="1:8" s="60" customFormat="1" ht="15.95" customHeight="1" x14ac:dyDescent="0.3">
      <c r="B93" s="56"/>
      <c r="C93" s="56"/>
      <c r="D93" s="56"/>
      <c r="E93" s="56"/>
      <c r="F93" s="56"/>
      <c r="G93" s="56"/>
      <c r="H93" s="56"/>
    </row>
    <row r="94" spans="1:8" s="60" customFormat="1" ht="15.95" customHeight="1" x14ac:dyDescent="0.3">
      <c r="A94" s="70"/>
      <c r="B94" s="56"/>
      <c r="C94" s="56"/>
      <c r="D94" s="56"/>
      <c r="E94" s="56"/>
      <c r="F94" s="56"/>
      <c r="G94" s="56"/>
      <c r="H94" s="56"/>
    </row>
    <row r="95" spans="1:8" s="60" customFormat="1" ht="15.95" customHeight="1" x14ac:dyDescent="0.3">
      <c r="A95" s="70"/>
      <c r="B95" s="56"/>
      <c r="C95" s="56"/>
      <c r="D95" s="56"/>
      <c r="E95" s="56"/>
      <c r="F95" s="56"/>
      <c r="G95" s="56"/>
      <c r="H95" s="56"/>
    </row>
    <row r="96" spans="1:8" s="60" customFormat="1" ht="15.95" customHeight="1" x14ac:dyDescent="0.3">
      <c r="B96" s="56"/>
      <c r="C96" s="56"/>
      <c r="D96" s="56"/>
      <c r="E96" s="56"/>
      <c r="F96" s="56"/>
      <c r="G96" s="56"/>
      <c r="H96" s="56"/>
    </row>
    <row r="100" ht="13.35" customHeight="1" x14ac:dyDescent="0.3"/>
    <row r="120" ht="12.95" customHeight="1" x14ac:dyDescent="0.3"/>
    <row r="121" ht="10.5" customHeight="1" x14ac:dyDescent="0.3"/>
    <row r="132" ht="12" customHeight="1" x14ac:dyDescent="0.3"/>
    <row r="133" ht="12" customHeight="1" x14ac:dyDescent="0.3"/>
    <row r="144" ht="13.5" customHeight="1" x14ac:dyDescent="0.3"/>
    <row r="191" ht="10.5" customHeight="1" x14ac:dyDescent="0.3"/>
    <row r="192" ht="10.5" customHeight="1" x14ac:dyDescent="0.3"/>
  </sheetData>
  <mergeCells count="45">
    <mergeCell ref="B71:F71"/>
    <mergeCell ref="B72:F72"/>
    <mergeCell ref="B75:F75"/>
    <mergeCell ref="B80:H80"/>
    <mergeCell ref="B81:H81"/>
    <mergeCell ref="B73:F73"/>
    <mergeCell ref="B74:F74"/>
    <mergeCell ref="B82:H82"/>
    <mergeCell ref="B18:E18"/>
    <mergeCell ref="B16:E16"/>
    <mergeCell ref="B76:F76"/>
    <mergeCell ref="B78:H78"/>
    <mergeCell ref="B79:H79"/>
    <mergeCell ref="G61:G62"/>
    <mergeCell ref="B70:F70"/>
    <mergeCell ref="E47:E48"/>
    <mergeCell ref="F47:F48"/>
    <mergeCell ref="G47:G48"/>
    <mergeCell ref="H47:H48"/>
    <mergeCell ref="F61:F62"/>
    <mergeCell ref="B69:F69"/>
    <mergeCell ref="C59:D59"/>
    <mergeCell ref="B61:B62"/>
    <mergeCell ref="C61:C62"/>
    <mergeCell ref="D61:D62"/>
    <mergeCell ref="E61:E62"/>
    <mergeCell ref="C32:D32"/>
    <mergeCell ref="C37:D37"/>
    <mergeCell ref="C41:D41"/>
    <mergeCell ref="C45:D45"/>
    <mergeCell ref="B47:B48"/>
    <mergeCell ref="C47:C48"/>
    <mergeCell ref="D47:D48"/>
    <mergeCell ref="B19:E19"/>
    <mergeCell ref="B1:H1"/>
    <mergeCell ref="B2:H2"/>
    <mergeCell ref="B3:H3"/>
    <mergeCell ref="B15:E15"/>
    <mergeCell ref="B17:E17"/>
    <mergeCell ref="J3:K3"/>
    <mergeCell ref="B4:H5"/>
    <mergeCell ref="F8:F12"/>
    <mergeCell ref="G8:G12"/>
    <mergeCell ref="B14:E14"/>
    <mergeCell ref="C6:H6"/>
  </mergeCells>
  <dataValidations count="1">
    <dataValidation type="custom" allowBlank="1" showErrorMessage="1" errorTitle="Erro" error="Não é permitido escrever nesta célula" sqref="IP106 SL106 ACH106 AMD106 AVZ106 BFV106 BPR106 BZN106 CJJ106 CTF106 DDB106 DMX106 DWT106 EGP106 EQL106 FAH106 FKD106 FTZ106 GDV106 GNR106 GXN106 HHJ106 HRF106 IBB106 IKX106 IUT106 JEP106 JOL106 JYH106 KID106 KRZ106 LBV106 LLR106 LVN106 MFJ106 MPF106 MZB106 NIX106 NST106 OCP106 OML106 OWH106 PGD106 PPZ106 PZV106 QJR106 QTN106 RDJ106 RNF106 RXB106 SGX106 SQT106 TAP106 TKL106 TUH106 UED106 UNZ106 UXV106 VHR106 VRN106 WBJ106 WLF106 WVB106 IP65642 SL65642 ACH65642 AMD65642 AVZ65642 BFV65642 BPR65642 BZN65642 CJJ65642 CTF65642 DDB65642 DMX65642 DWT65642 EGP65642 EQL65642 FAH65642 FKD65642 FTZ65642 GDV65642 GNR65642 GXN65642 HHJ65642 HRF65642 IBB65642 IKX65642 IUT65642 JEP65642 JOL65642 JYH65642 KID65642 KRZ65642 LBV65642 LLR65642 LVN65642 MFJ65642 MPF65642 MZB65642 NIX65642 NST65642 OCP65642 OML65642 OWH65642 PGD65642 PPZ65642 PZV65642 QJR65642 QTN65642 RDJ65642 RNF65642 RXB65642 SGX65642 SQT65642 TAP65642 TKL65642 TUH65642 UED65642 UNZ65642 UXV65642 VHR65642 VRN65642 WBJ65642 WLF65642 WVB65642 IP131178 SL131178 ACH131178 AMD131178 AVZ131178 BFV131178 BPR131178 BZN131178 CJJ131178 CTF131178 DDB131178 DMX131178 DWT131178 EGP131178 EQL131178 FAH131178 FKD131178 FTZ131178 GDV131178 GNR131178 GXN131178 HHJ131178 HRF131178 IBB131178 IKX131178 IUT131178 JEP131178 JOL131178 JYH131178 KID131178 KRZ131178 LBV131178 LLR131178 LVN131178 MFJ131178 MPF131178 MZB131178 NIX131178 NST131178 OCP131178 OML131178 OWH131178 PGD131178 PPZ131178 PZV131178 QJR131178 QTN131178 RDJ131178 RNF131178 RXB131178 SGX131178 SQT131178 TAP131178 TKL131178 TUH131178 UED131178 UNZ131178 UXV131178 VHR131178 VRN131178 WBJ131178 WLF131178 WVB131178 IP196714 SL196714 ACH196714 AMD196714 AVZ196714 BFV196714 BPR196714 BZN196714 CJJ196714 CTF196714 DDB196714 DMX196714 DWT196714 EGP196714 EQL196714 FAH196714 FKD196714 FTZ196714 GDV196714 GNR196714 GXN196714 HHJ196714 HRF196714 IBB196714 IKX196714 IUT196714 JEP196714 JOL196714 JYH196714 KID196714 KRZ196714 LBV196714 LLR196714 LVN196714 MFJ196714 MPF196714 MZB196714 NIX196714 NST196714 OCP196714 OML196714 OWH196714 PGD196714 PPZ196714 PZV196714 QJR196714 QTN196714 RDJ196714 RNF196714 RXB196714 SGX196714 SQT196714 TAP196714 TKL196714 TUH196714 UED196714 UNZ196714 UXV196714 VHR196714 VRN196714 WBJ196714 WLF196714 WVB196714 IP262250 SL262250 ACH262250 AMD262250 AVZ262250 BFV262250 BPR262250 BZN262250 CJJ262250 CTF262250 DDB262250 DMX262250 DWT262250 EGP262250 EQL262250 FAH262250 FKD262250 FTZ262250 GDV262250 GNR262250 GXN262250 HHJ262250 HRF262250 IBB262250 IKX262250 IUT262250 JEP262250 JOL262250 JYH262250 KID262250 KRZ262250 LBV262250 LLR262250 LVN262250 MFJ262250 MPF262250 MZB262250 NIX262250 NST262250 OCP262250 OML262250 OWH262250 PGD262250 PPZ262250 PZV262250 QJR262250 QTN262250 RDJ262250 RNF262250 RXB262250 SGX262250 SQT262250 TAP262250 TKL262250 TUH262250 UED262250 UNZ262250 UXV262250 VHR262250 VRN262250 WBJ262250 WLF262250 WVB262250 IP327786 SL327786 ACH327786 AMD327786 AVZ327786 BFV327786 BPR327786 BZN327786 CJJ327786 CTF327786 DDB327786 DMX327786 DWT327786 EGP327786 EQL327786 FAH327786 FKD327786 FTZ327786 GDV327786 GNR327786 GXN327786 HHJ327786 HRF327786 IBB327786 IKX327786 IUT327786 JEP327786 JOL327786 JYH327786 KID327786 KRZ327786 LBV327786 LLR327786 LVN327786 MFJ327786 MPF327786 MZB327786 NIX327786 NST327786 OCP327786 OML327786 OWH327786 PGD327786 PPZ327786 PZV327786 QJR327786 QTN327786 RDJ327786 RNF327786 RXB327786 SGX327786 SQT327786 TAP327786 TKL327786 TUH327786 UED327786 UNZ327786 UXV327786 VHR327786 VRN327786 WBJ327786 WLF327786 WVB327786 IP393322 SL393322 ACH393322 AMD393322 AVZ393322 BFV393322 BPR393322 BZN393322 CJJ393322 CTF393322 DDB393322 DMX393322 DWT393322 EGP393322 EQL393322 FAH393322 FKD393322 FTZ393322 GDV393322 GNR393322 GXN393322 HHJ393322 HRF393322 IBB393322 IKX393322 IUT393322 JEP393322 JOL393322 JYH393322 KID393322 KRZ393322 LBV393322 LLR393322 LVN393322 MFJ393322 MPF393322 MZB393322 NIX393322 NST393322 OCP393322 OML393322 OWH393322 PGD393322 PPZ393322 PZV393322 QJR393322 QTN393322 RDJ393322 RNF393322 RXB393322 SGX393322 SQT393322 TAP393322 TKL393322 TUH393322 UED393322 UNZ393322 UXV393322 VHR393322 VRN393322 WBJ393322 WLF393322 WVB393322 IP458858 SL458858 ACH458858 AMD458858 AVZ458858 BFV458858 BPR458858 BZN458858 CJJ458858 CTF458858 DDB458858 DMX458858 DWT458858 EGP458858 EQL458858 FAH458858 FKD458858 FTZ458858 GDV458858 GNR458858 GXN458858 HHJ458858 HRF458858 IBB458858 IKX458858 IUT458858 JEP458858 JOL458858 JYH458858 KID458858 KRZ458858 LBV458858 LLR458858 LVN458858 MFJ458858 MPF458858 MZB458858 NIX458858 NST458858 OCP458858 OML458858 OWH458858 PGD458858 PPZ458858 PZV458858 QJR458858 QTN458858 RDJ458858 RNF458858 RXB458858 SGX458858 SQT458858 TAP458858 TKL458858 TUH458858 UED458858 UNZ458858 UXV458858 VHR458858 VRN458858 WBJ458858 WLF458858 WVB458858 IP524394 SL524394 ACH524394 AMD524394 AVZ524394 BFV524394 BPR524394 BZN524394 CJJ524394 CTF524394 DDB524394 DMX524394 DWT524394 EGP524394 EQL524394 FAH524394 FKD524394 FTZ524394 GDV524394 GNR524394 GXN524394 HHJ524394 HRF524394 IBB524394 IKX524394 IUT524394 JEP524394 JOL524394 JYH524394 KID524394 KRZ524394 LBV524394 LLR524394 LVN524394 MFJ524394 MPF524394 MZB524394 NIX524394 NST524394 OCP524394 OML524394 OWH524394 PGD524394 PPZ524394 PZV524394 QJR524394 QTN524394 RDJ524394 RNF524394 RXB524394 SGX524394 SQT524394 TAP524394 TKL524394 TUH524394 UED524394 UNZ524394 UXV524394 VHR524394 VRN524394 WBJ524394 WLF524394 WVB524394 IP589930 SL589930 ACH589930 AMD589930 AVZ589930 BFV589930 BPR589930 BZN589930 CJJ589930 CTF589930 DDB589930 DMX589930 DWT589930 EGP589930 EQL589930 FAH589930 FKD589930 FTZ589930 GDV589930 GNR589930 GXN589930 HHJ589930 HRF589930 IBB589930 IKX589930 IUT589930 JEP589930 JOL589930 JYH589930 KID589930 KRZ589930 LBV589930 LLR589930 LVN589930 MFJ589930 MPF589930 MZB589930 NIX589930 NST589930 OCP589930 OML589930 OWH589930 PGD589930 PPZ589930 PZV589930 QJR589930 QTN589930 RDJ589930 RNF589930 RXB589930 SGX589930 SQT589930 TAP589930 TKL589930 TUH589930 UED589930 UNZ589930 UXV589930 VHR589930 VRN589930 WBJ589930 WLF589930 WVB589930 IP655466 SL655466 ACH655466 AMD655466 AVZ655466 BFV655466 BPR655466 BZN655466 CJJ655466 CTF655466 DDB655466 DMX655466 DWT655466 EGP655466 EQL655466 FAH655466 FKD655466 FTZ655466 GDV655466 GNR655466 GXN655466 HHJ655466 HRF655466 IBB655466 IKX655466 IUT655466 JEP655466 JOL655466 JYH655466 KID655466 KRZ655466 LBV655466 LLR655466 LVN655466 MFJ655466 MPF655466 MZB655466 NIX655466 NST655466 OCP655466 OML655466 OWH655466 PGD655466 PPZ655466 PZV655466 QJR655466 QTN655466 RDJ655466 RNF655466 RXB655466 SGX655466 SQT655466 TAP655466 TKL655466 TUH655466 UED655466 UNZ655466 UXV655466 VHR655466 VRN655466 WBJ655466 WLF655466 WVB655466 IP721002 SL721002 ACH721002 AMD721002 AVZ721002 BFV721002 BPR721002 BZN721002 CJJ721002 CTF721002 DDB721002 DMX721002 DWT721002 EGP721002 EQL721002 FAH721002 FKD721002 FTZ721002 GDV721002 GNR721002 GXN721002 HHJ721002 HRF721002 IBB721002 IKX721002 IUT721002 JEP721002 JOL721002 JYH721002 KID721002 KRZ721002 LBV721002 LLR721002 LVN721002 MFJ721002 MPF721002 MZB721002 NIX721002 NST721002 OCP721002 OML721002 OWH721002 PGD721002 PPZ721002 PZV721002 QJR721002 QTN721002 RDJ721002 RNF721002 RXB721002 SGX721002 SQT721002 TAP721002 TKL721002 TUH721002 UED721002 UNZ721002 UXV721002 VHR721002 VRN721002 WBJ721002 WLF721002 WVB721002 IP786538 SL786538 ACH786538 AMD786538 AVZ786538 BFV786538 BPR786538 BZN786538 CJJ786538 CTF786538 DDB786538 DMX786538 DWT786538 EGP786538 EQL786538 FAH786538 FKD786538 FTZ786538 GDV786538 GNR786538 GXN786538 HHJ786538 HRF786538 IBB786538 IKX786538 IUT786538 JEP786538 JOL786538 JYH786538 KID786538 KRZ786538 LBV786538 LLR786538 LVN786538 MFJ786538 MPF786538 MZB786538 NIX786538 NST786538 OCP786538 OML786538 OWH786538 PGD786538 PPZ786538 PZV786538 QJR786538 QTN786538 RDJ786538 RNF786538 RXB786538 SGX786538 SQT786538 TAP786538 TKL786538 TUH786538 UED786538 UNZ786538 UXV786538 VHR786538 VRN786538 WBJ786538 WLF786538 WVB786538 IP852074 SL852074 ACH852074 AMD852074 AVZ852074 BFV852074 BPR852074 BZN852074 CJJ852074 CTF852074 DDB852074 DMX852074 DWT852074 EGP852074 EQL852074 FAH852074 FKD852074 FTZ852074 GDV852074 GNR852074 GXN852074 HHJ852074 HRF852074 IBB852074 IKX852074 IUT852074 JEP852074 JOL852074 JYH852074 KID852074 KRZ852074 LBV852074 LLR852074 LVN852074 MFJ852074 MPF852074 MZB852074 NIX852074 NST852074 OCP852074 OML852074 OWH852074 PGD852074 PPZ852074 PZV852074 QJR852074 QTN852074 RDJ852074 RNF852074 RXB852074 SGX852074 SQT852074 TAP852074 TKL852074 TUH852074 UED852074 UNZ852074 UXV852074 VHR852074 VRN852074 WBJ852074 WLF852074 WVB852074 IP917610 SL917610 ACH917610 AMD917610 AVZ917610 BFV917610 BPR917610 BZN917610 CJJ917610 CTF917610 DDB917610 DMX917610 DWT917610 EGP917610 EQL917610 FAH917610 FKD917610 FTZ917610 GDV917610 GNR917610 GXN917610 HHJ917610 HRF917610 IBB917610 IKX917610 IUT917610 JEP917610 JOL917610 JYH917610 KID917610 KRZ917610 LBV917610 LLR917610 LVN917610 MFJ917610 MPF917610 MZB917610 NIX917610 NST917610 OCP917610 OML917610 OWH917610 PGD917610 PPZ917610 PZV917610 QJR917610 QTN917610 RDJ917610 RNF917610 RXB917610 SGX917610 SQT917610 TAP917610 TKL917610 TUH917610 UED917610 UNZ917610 UXV917610 VHR917610 VRN917610 WBJ917610 WLF917610 WVB917610 IP983146 SL983146 ACH983146 AMD983146 AVZ983146 BFV983146 BPR983146 BZN983146 CJJ983146 CTF983146 DDB983146 DMX983146 DWT983146 EGP983146 EQL983146 FAH983146 FKD983146 FTZ983146 GDV983146 GNR983146 GXN983146 HHJ983146 HRF983146 IBB983146 IKX983146 IUT983146 JEP983146 JOL983146 JYH983146 KID983146 KRZ983146 LBV983146 LLR983146 LVN983146 MFJ983146 MPF983146 MZB983146 NIX983146 NST983146 OCP983146 OML983146 OWH983146 PGD983146 PPZ983146 PZV983146 QJR983146 QTN983146 RDJ983146 RNF983146 RXB983146 SGX983146 SQT983146 TAP983146 TKL983146 TUH983146 UED983146 UNZ983146 UXV983146 VHR983146 VRN983146 WBJ983146 WLF983146 WVB983146">
      <formula1>"&lt;""""&gt; "</formula1>
      <formula2>0</formula2>
    </dataValidation>
  </dataValidations>
  <pageMargins left="0.98425196850393704" right="0.39370078740157483" top="0.78740157480314965" bottom="0.98425196850393704" header="0.59055118110236227" footer="0.78740157480314965"/>
  <pageSetup paperSize="9" scale="48" firstPageNumber="0" orientation="portrait" r:id="rId1"/>
  <headerFooter alignWithMargins="0">
    <oddHeader>&amp;RPlanilha MODELO LICITANTE</oddHeader>
    <oddFooter>&amp;C&amp;"Arial Narrow,Normal"&amp;A - Página &amp;P</oddFooter>
  </headerFooter>
  <ignoredErrors>
    <ignoredError sqref="G71 G73:G75" formula="1"/>
  </ignoredErrors>
  <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428</v>
      </c>
      <c r="G7" s="863"/>
    </row>
    <row r="8" spans="1:8" ht="19.5" customHeight="1" x14ac:dyDescent="0.2">
      <c r="A8" s="867" t="s">
        <v>146</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v>2025</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175</v>
      </c>
      <c r="G16" s="844"/>
      <c r="H16" s="3"/>
    </row>
    <row r="17" spans="1:8" ht="14.1" customHeight="1" x14ac:dyDescent="0.2">
      <c r="A17" s="827" t="s">
        <v>21</v>
      </c>
      <c r="B17" s="828"/>
      <c r="C17" s="828"/>
      <c r="D17" s="828"/>
      <c r="E17" s="829"/>
      <c r="F17" s="843" t="s">
        <v>148</v>
      </c>
      <c r="G17" s="844"/>
      <c r="H17" s="3"/>
    </row>
    <row r="18" spans="1:8" ht="14.1" customHeight="1" x14ac:dyDescent="0.2">
      <c r="A18" s="827" t="s">
        <v>1</v>
      </c>
      <c r="B18" s="828"/>
      <c r="C18" s="828"/>
      <c r="D18" s="828"/>
      <c r="E18" s="829"/>
      <c r="F18" s="837">
        <v>1717.2</v>
      </c>
      <c r="G18" s="838"/>
    </row>
    <row r="19" spans="1:8" ht="14.1" customHeight="1" x14ac:dyDescent="0.2">
      <c r="A19" s="832" t="s">
        <v>8</v>
      </c>
      <c r="B19" s="833"/>
      <c r="C19" s="833"/>
      <c r="D19" s="833"/>
      <c r="E19" s="834"/>
      <c r="F19" s="839">
        <v>45658</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18</v>
      </c>
      <c r="G22" s="836"/>
    </row>
    <row r="23" spans="1:8" ht="12.75" customHeight="1" x14ac:dyDescent="0.2">
      <c r="A23" s="832" t="s">
        <v>25</v>
      </c>
      <c r="B23" s="833"/>
      <c r="C23" s="833"/>
      <c r="D23" s="833"/>
      <c r="E23" s="834"/>
      <c r="F23" s="845" t="s">
        <v>214</v>
      </c>
      <c r="G23" s="846"/>
    </row>
    <row r="24" spans="1:8" ht="25.5" customHeight="1" x14ac:dyDescent="0.2">
      <c r="A24" s="873" t="s">
        <v>475</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8" t="s">
        <v>27</v>
      </c>
      <c r="G26" s="88" t="s">
        <v>3</v>
      </c>
    </row>
    <row r="27" spans="1:8" s="34" customFormat="1" x14ac:dyDescent="0.2">
      <c r="A27" s="89" t="s">
        <v>28</v>
      </c>
      <c r="B27" s="822" t="s">
        <v>153</v>
      </c>
      <c r="C27" s="822"/>
      <c r="D27" s="822"/>
      <c r="E27" s="822"/>
      <c r="F27" s="90">
        <v>1</v>
      </c>
      <c r="G27" s="91">
        <f>F18*F27</f>
        <v>1717.2</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0.4</v>
      </c>
      <c r="G29" s="91">
        <f>ROUND(F15*F29,2)</f>
        <v>607.20000000000005</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2324.4</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193.62</v>
      </c>
      <c r="H37" s="53"/>
    </row>
    <row r="38" spans="1:8" x14ac:dyDescent="0.2">
      <c r="A38" s="96" t="s">
        <v>29</v>
      </c>
      <c r="B38" s="804" t="s">
        <v>157</v>
      </c>
      <c r="C38" s="805"/>
      <c r="D38" s="805"/>
      <c r="E38" s="817"/>
      <c r="F38" s="97">
        <f>ROUND((1/11)+(1/11)/3, 3)</f>
        <v>0.121</v>
      </c>
      <c r="G38" s="8">
        <f>ROUND(G$34*F38,2)</f>
        <v>281.25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160.62</v>
      </c>
      <c r="H40" s="4"/>
    </row>
    <row r="41" spans="1:8" x14ac:dyDescent="0.2">
      <c r="A41" s="786" t="s">
        <v>41</v>
      </c>
      <c r="B41" s="787"/>
      <c r="C41" s="787"/>
      <c r="D41" s="787"/>
      <c r="E41" s="785"/>
      <c r="F41" s="41">
        <f>ROUND(SUM(F39:F40),4)</f>
        <v>0.27339999999999998</v>
      </c>
      <c r="G41" s="100">
        <f>SUM(G37:G40)</f>
        <v>635.49</v>
      </c>
      <c r="H41" s="4">
        <f>ROUND(G34*F41,2)</f>
        <v>635.49</v>
      </c>
    </row>
    <row r="42" spans="1:8" x14ac:dyDescent="0.2">
      <c r="A42" s="779" t="s">
        <v>118</v>
      </c>
      <c r="B42" s="780"/>
      <c r="C42" s="780"/>
      <c r="D42" s="780"/>
      <c r="E42" s="780"/>
      <c r="F42" s="780"/>
      <c r="G42" s="781"/>
      <c r="H42" s="4">
        <f>SUM(G41,G34)</f>
        <v>2959.89</v>
      </c>
    </row>
    <row r="43" spans="1:8" x14ac:dyDescent="0.2">
      <c r="A43" s="42" t="s">
        <v>28</v>
      </c>
      <c r="B43" s="782" t="s">
        <v>42</v>
      </c>
      <c r="C43" s="783"/>
      <c r="D43" s="783"/>
      <c r="E43" s="819"/>
      <c r="F43" s="43">
        <v>0.2</v>
      </c>
      <c r="G43" s="22">
        <f>ROUND((G$34)*F43,2)</f>
        <v>464.88</v>
      </c>
      <c r="H43" s="4"/>
    </row>
    <row r="44" spans="1:8" x14ac:dyDescent="0.2">
      <c r="A44" s="36" t="s">
        <v>29</v>
      </c>
      <c r="B44" s="802" t="s">
        <v>43</v>
      </c>
      <c r="C44" s="803"/>
      <c r="D44" s="803"/>
      <c r="E44" s="816"/>
      <c r="F44" s="94">
        <v>2.5000000000000001E-2</v>
      </c>
      <c r="G44" s="101">
        <f>ROUND((G$34)*F44,2)</f>
        <v>58.11</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34.869999999999997</v>
      </c>
      <c r="H46" s="4"/>
    </row>
    <row r="47" spans="1:8" x14ac:dyDescent="0.2">
      <c r="A47" s="36" t="s">
        <v>32</v>
      </c>
      <c r="B47" s="802" t="s">
        <v>46</v>
      </c>
      <c r="C47" s="803"/>
      <c r="D47" s="803"/>
      <c r="E47" s="816"/>
      <c r="F47" s="94">
        <v>0.01</v>
      </c>
      <c r="G47" s="101">
        <f t="shared" si="0"/>
        <v>23.24</v>
      </c>
      <c r="H47" s="4"/>
    </row>
    <row r="48" spans="1:8" x14ac:dyDescent="0.2">
      <c r="A48" s="36" t="s">
        <v>34</v>
      </c>
      <c r="B48" s="802" t="s">
        <v>47</v>
      </c>
      <c r="C48" s="803"/>
      <c r="D48" s="803"/>
      <c r="E48" s="816"/>
      <c r="F48" s="94">
        <v>6.0000000000000001E-3</v>
      </c>
      <c r="G48" s="101">
        <f t="shared" si="0"/>
        <v>13.95</v>
      </c>
      <c r="H48" s="4"/>
    </row>
    <row r="49" spans="1:8" x14ac:dyDescent="0.2">
      <c r="A49" s="36" t="s">
        <v>48</v>
      </c>
      <c r="B49" s="802" t="s">
        <v>49</v>
      </c>
      <c r="C49" s="803"/>
      <c r="D49" s="803"/>
      <c r="E49" s="816"/>
      <c r="F49" s="94">
        <v>2E-3</v>
      </c>
      <c r="G49" s="101">
        <f t="shared" si="0"/>
        <v>4.6500000000000004</v>
      </c>
      <c r="H49" s="4"/>
    </row>
    <row r="50" spans="1:8" x14ac:dyDescent="0.2">
      <c r="A50" s="96" t="s">
        <v>50</v>
      </c>
      <c r="B50" s="804" t="s">
        <v>51</v>
      </c>
      <c r="C50" s="805"/>
      <c r="D50" s="805"/>
      <c r="E50" s="817"/>
      <c r="F50" s="97">
        <v>0.08</v>
      </c>
      <c r="G50" s="101">
        <f t="shared" si="0"/>
        <v>185.95</v>
      </c>
      <c r="H50" s="4"/>
    </row>
    <row r="51" spans="1:8" x14ac:dyDescent="0.2">
      <c r="A51" s="786" t="s">
        <v>52</v>
      </c>
      <c r="B51" s="787"/>
      <c r="C51" s="787"/>
      <c r="D51" s="787"/>
      <c r="E51" s="785"/>
      <c r="F51" s="41">
        <f>SUM(F43:F50)</f>
        <v>0.33800000000000002</v>
      </c>
      <c r="G51" s="100">
        <f>SUM(G43:G50)</f>
        <v>785.65</v>
      </c>
      <c r="H51" s="4">
        <f>ROUND(G34*F51,2)</f>
        <v>785.65</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42</v>
      </c>
      <c r="G53" s="14">
        <f>IF(ROUND((E53*F53)-(G27*0.06),2)&lt;0,0,ROUND((E53*F53)-(G27*0.06),2))</f>
        <v>0</v>
      </c>
      <c r="H53" s="35"/>
    </row>
    <row r="54" spans="1:8" s="34" customFormat="1" x14ac:dyDescent="0.2">
      <c r="A54" s="36" t="s">
        <v>55</v>
      </c>
      <c r="B54" s="808" t="s">
        <v>56</v>
      </c>
      <c r="C54" s="809"/>
      <c r="D54" s="809"/>
      <c r="E54" s="102">
        <f>20.76-1.39</f>
        <v>19.37</v>
      </c>
      <c r="F54" s="103">
        <v>21</v>
      </c>
      <c r="G54" s="91">
        <f>ROUND((E54*F54),2)</f>
        <v>406.77</v>
      </c>
      <c r="H54" s="35"/>
    </row>
    <row r="55" spans="1:8" s="34" customFormat="1" x14ac:dyDescent="0.2">
      <c r="A55" s="36" t="s">
        <v>57</v>
      </c>
      <c r="B55" s="808" t="s">
        <v>58</v>
      </c>
      <c r="C55" s="809"/>
      <c r="D55" s="809"/>
      <c r="E55" s="102">
        <v>144.68</v>
      </c>
      <c r="F55" s="103">
        <v>1</v>
      </c>
      <c r="G55" s="91">
        <f>ROUND((E55*F55),2)</f>
        <v>144.68</v>
      </c>
      <c r="H55" s="35"/>
    </row>
    <row r="56" spans="1:8" s="34" customFormat="1" x14ac:dyDescent="0.2">
      <c r="A56" s="36" t="s">
        <v>30</v>
      </c>
      <c r="B56" s="808" t="s">
        <v>149</v>
      </c>
      <c r="C56" s="809"/>
      <c r="D56" s="809"/>
      <c r="E56" s="102">
        <v>35.33</v>
      </c>
      <c r="F56" s="103">
        <v>1</v>
      </c>
      <c r="G56" s="91">
        <f>ROUND((E56*F56),2)</f>
        <v>35.33</v>
      </c>
      <c r="H56" s="35"/>
    </row>
    <row r="57" spans="1:8" s="34" customFormat="1" x14ac:dyDescent="0.2">
      <c r="A57" s="36" t="s">
        <v>31</v>
      </c>
      <c r="B57" s="808" t="s">
        <v>179</v>
      </c>
      <c r="C57" s="809"/>
      <c r="D57" s="809"/>
      <c r="E57" s="603">
        <f>ROUND((F18*30%)*5%,2)*0</f>
        <v>0</v>
      </c>
      <c r="F57" s="103">
        <v>1</v>
      </c>
      <c r="G57" s="91">
        <f>ROUND((E57*F57),2)</f>
        <v>0</v>
      </c>
      <c r="H57" s="35"/>
    </row>
    <row r="58" spans="1:8" s="34" customFormat="1" x14ac:dyDescent="0.2">
      <c r="A58" s="36" t="s">
        <v>32</v>
      </c>
      <c r="B58" s="808" t="s">
        <v>150</v>
      </c>
      <c r="C58" s="809"/>
      <c r="D58" s="809"/>
      <c r="E58" s="102">
        <f>20.76</f>
        <v>20.76</v>
      </c>
      <c r="F58" s="103">
        <v>1</v>
      </c>
      <c r="G58" s="91">
        <f>ROUND((E58*F58)/12,2)</f>
        <v>1.73</v>
      </c>
      <c r="H58" s="35"/>
    </row>
    <row r="59" spans="1:8" s="34" customFormat="1" x14ac:dyDescent="0.2">
      <c r="A59" s="36" t="s">
        <v>34</v>
      </c>
      <c r="B59" s="814" t="s">
        <v>180</v>
      </c>
      <c r="C59" s="815"/>
      <c r="D59" s="815"/>
      <c r="E59" s="102">
        <f>15.96</f>
        <v>15.96</v>
      </c>
      <c r="F59" s="104">
        <v>1</v>
      </c>
      <c r="G59" s="105">
        <f>ROUND((E59*F59),2)</f>
        <v>15.96</v>
      </c>
      <c r="H59" s="35"/>
    </row>
    <row r="60" spans="1:8" s="34" customFormat="1" x14ac:dyDescent="0.2">
      <c r="A60" s="36" t="s">
        <v>48</v>
      </c>
      <c r="B60" s="808" t="s">
        <v>253</v>
      </c>
      <c r="C60" s="809"/>
      <c r="D60" s="809"/>
      <c r="E60" s="102">
        <v>300</v>
      </c>
      <c r="F60" s="103">
        <v>1</v>
      </c>
      <c r="G60" s="91">
        <f>ROUND((E60*F60),2)</f>
        <v>300</v>
      </c>
      <c r="H60" s="35"/>
    </row>
    <row r="61" spans="1:8" s="34" customFormat="1" x14ac:dyDescent="0.2">
      <c r="A61" s="89" t="s">
        <v>50</v>
      </c>
      <c r="B61" s="808" t="s">
        <v>152</v>
      </c>
      <c r="C61" s="809"/>
      <c r="D61" s="809"/>
      <c r="E61" s="102">
        <v>0</v>
      </c>
      <c r="F61" s="103">
        <v>1</v>
      </c>
      <c r="G61" s="106">
        <f>ROUND((E61*F61),2)</f>
        <v>0</v>
      </c>
      <c r="H61" s="35"/>
    </row>
    <row r="62" spans="1:8" s="34" customFormat="1" x14ac:dyDescent="0.2">
      <c r="A62" s="36" t="s">
        <v>151</v>
      </c>
      <c r="B62" s="812" t="s">
        <v>152</v>
      </c>
      <c r="C62" s="813"/>
      <c r="D62" s="813"/>
      <c r="E62" s="107">
        <v>0</v>
      </c>
      <c r="F62" s="103">
        <v>1</v>
      </c>
      <c r="G62" s="91">
        <v>0</v>
      </c>
      <c r="H62" s="35"/>
    </row>
    <row r="63" spans="1:8" x14ac:dyDescent="0.2">
      <c r="A63" s="758" t="s">
        <v>60</v>
      </c>
      <c r="B63" s="759"/>
      <c r="C63" s="759"/>
      <c r="D63" s="759"/>
      <c r="E63" s="759"/>
      <c r="F63" s="760"/>
      <c r="G63" s="93">
        <f>SUM(G53:G62)</f>
        <v>904.47</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635.49</v>
      </c>
      <c r="H65" s="4"/>
    </row>
    <row r="66" spans="1:8" x14ac:dyDescent="0.2">
      <c r="A66" s="108" t="s">
        <v>64</v>
      </c>
      <c r="B66" s="749" t="s">
        <v>128</v>
      </c>
      <c r="C66" s="750"/>
      <c r="D66" s="750"/>
      <c r="E66" s="750"/>
      <c r="F66" s="18">
        <f>F51</f>
        <v>0.33800000000000002</v>
      </c>
      <c r="G66" s="109">
        <f>G51</f>
        <v>785.65</v>
      </c>
      <c r="H66" s="4"/>
    </row>
    <row r="67" spans="1:8" x14ac:dyDescent="0.2">
      <c r="A67" s="108" t="s">
        <v>65</v>
      </c>
      <c r="B67" s="749" t="s">
        <v>66</v>
      </c>
      <c r="C67" s="750"/>
      <c r="D67" s="750"/>
      <c r="E67" s="750"/>
      <c r="F67" s="751"/>
      <c r="G67" s="109">
        <f>G63</f>
        <v>904.47</v>
      </c>
      <c r="H67" s="4"/>
    </row>
    <row r="68" spans="1:8" x14ac:dyDescent="0.2">
      <c r="A68" s="758" t="s">
        <v>67</v>
      </c>
      <c r="B68" s="759"/>
      <c r="C68" s="759"/>
      <c r="D68" s="759"/>
      <c r="E68" s="759"/>
      <c r="F68" s="760"/>
      <c r="G68" s="93">
        <f>SUM(G65:G67)</f>
        <v>2325.61</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EPI''s'!I17</f>
        <v>0</v>
      </c>
      <c r="F108" s="24">
        <v>1</v>
      </c>
      <c r="G108" s="91">
        <f>ROUND(SUM(C108:E108),2)*F108</f>
        <v>0</v>
      </c>
      <c r="H108" s="4"/>
    </row>
    <row r="109" spans="1:8" s="34" customFormat="1" x14ac:dyDescent="0.2">
      <c r="A109" s="36" t="s">
        <v>29</v>
      </c>
      <c r="B109" s="790" t="str">
        <f>'Uniformes e EPI''s'!A19</f>
        <v>EPI's</v>
      </c>
      <c r="C109" s="742"/>
      <c r="D109" s="742"/>
      <c r="E109" s="44">
        <f>'Uniformes e EPI''s'!H39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f>ROUND((E114*F114)/12,2)</f>
        <v>0</v>
      </c>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94.9</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94.9</v>
      </c>
      <c r="H127" s="4">
        <f ca="1">ROUND(G139*F127,2)</f>
        <v>94.9</v>
      </c>
    </row>
    <row r="128" spans="1:8" x14ac:dyDescent="0.2">
      <c r="A128" s="758" t="s">
        <v>104</v>
      </c>
      <c r="B128" s="759"/>
      <c r="C128" s="759"/>
      <c r="D128" s="759"/>
      <c r="E128" s="759"/>
      <c r="F128" s="23">
        <f>SUM(F119,F120,F127)</f>
        <v>0.02</v>
      </c>
      <c r="G128" s="113">
        <f ca="1">SUM(G119:G126)</f>
        <v>94.9</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2324.4</v>
      </c>
      <c r="H130" s="4"/>
    </row>
    <row r="131" spans="1:8" x14ac:dyDescent="0.2">
      <c r="A131" s="108" t="s">
        <v>29</v>
      </c>
      <c r="B131" s="749" t="s">
        <v>107</v>
      </c>
      <c r="C131" s="750"/>
      <c r="D131" s="750"/>
      <c r="E131" s="750"/>
      <c r="F131" s="751"/>
      <c r="G131" s="109">
        <f>G68</f>
        <v>2325.61</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4650.01</v>
      </c>
      <c r="H135" s="4"/>
    </row>
    <row r="136" spans="1:8" x14ac:dyDescent="0.2">
      <c r="A136" s="108" t="s">
        <v>34</v>
      </c>
      <c r="B136" s="755" t="s">
        <v>112</v>
      </c>
      <c r="C136" s="756"/>
      <c r="D136" s="756"/>
      <c r="E136" s="756"/>
      <c r="F136" s="757"/>
      <c r="G136" s="109">
        <f ca="1">G128</f>
        <v>94.9</v>
      </c>
      <c r="H136" s="4"/>
    </row>
    <row r="137" spans="1:8" x14ac:dyDescent="0.2">
      <c r="A137" s="758" t="s">
        <v>113</v>
      </c>
      <c r="B137" s="759"/>
      <c r="C137" s="759"/>
      <c r="D137" s="759"/>
      <c r="E137" s="759"/>
      <c r="F137" s="760"/>
      <c r="G137" s="93">
        <f ca="1">SUM(G135:G136)</f>
        <v>4744.91</v>
      </c>
      <c r="H137" s="4">
        <f ca="1">SUM(G130:G136)-G135</f>
        <v>4744.91</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4744.91</v>
      </c>
      <c r="H139" s="4"/>
    </row>
    <row r="140" spans="1:8" x14ac:dyDescent="0.2">
      <c r="A140" s="118"/>
      <c r="B140" s="607" t="s">
        <v>115</v>
      </c>
      <c r="C140" s="607"/>
      <c r="D140" s="607"/>
      <c r="E140" s="607"/>
      <c r="F140" s="608">
        <f>F21</f>
        <v>1</v>
      </c>
      <c r="G140" s="609">
        <f ca="1">G139*F140</f>
        <v>4744.91</v>
      </c>
      <c r="H140" s="4"/>
    </row>
    <row r="141" spans="1:8" x14ac:dyDescent="0.2">
      <c r="F141" s="357"/>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428</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t="s">
        <v>490</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216</v>
      </c>
      <c r="G16" s="844"/>
      <c r="H16" s="3"/>
    </row>
    <row r="17" spans="1:8" ht="14.1" customHeight="1" x14ac:dyDescent="0.2">
      <c r="A17" s="827" t="s">
        <v>21</v>
      </c>
      <c r="B17" s="828"/>
      <c r="C17" s="828"/>
      <c r="D17" s="828"/>
      <c r="E17" s="829"/>
      <c r="F17" s="843" t="s">
        <v>218</v>
      </c>
      <c r="G17" s="844"/>
      <c r="H17" s="3"/>
    </row>
    <row r="18" spans="1:8" ht="14.1" customHeight="1" x14ac:dyDescent="0.2">
      <c r="A18" s="827" t="s">
        <v>1</v>
      </c>
      <c r="B18" s="828"/>
      <c r="C18" s="828"/>
      <c r="D18" s="828"/>
      <c r="E18" s="829"/>
      <c r="F18" s="837">
        <v>1732.39</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1" customHeight="1" x14ac:dyDescent="0.2">
      <c r="A24" s="873" t="s">
        <v>424</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8" t="s">
        <v>27</v>
      </c>
      <c r="G26" s="88" t="s">
        <v>3</v>
      </c>
    </row>
    <row r="27" spans="1:8" s="34" customFormat="1" x14ac:dyDescent="0.2">
      <c r="A27" s="89" t="s">
        <v>28</v>
      </c>
      <c r="B27" s="822" t="s">
        <v>153</v>
      </c>
      <c r="C27" s="822"/>
      <c r="D27" s="822"/>
      <c r="E27" s="822"/>
      <c r="F27" s="90">
        <v>1</v>
      </c>
      <c r="G27" s="91">
        <f>F18*F27</f>
        <v>1732.39</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2035.99</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169.6</v>
      </c>
      <c r="H37" s="53"/>
    </row>
    <row r="38" spans="1:8" x14ac:dyDescent="0.2">
      <c r="A38" s="96" t="s">
        <v>29</v>
      </c>
      <c r="B38" s="804" t="s">
        <v>157</v>
      </c>
      <c r="C38" s="805"/>
      <c r="D38" s="805"/>
      <c r="E38" s="817"/>
      <c r="F38" s="97">
        <f>ROUND((1/11)+(1/11)/3, 3)</f>
        <v>0.121</v>
      </c>
      <c r="G38" s="8">
        <f>ROUND(G$34*F38,2)</f>
        <v>246.35</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140.69</v>
      </c>
      <c r="H40" s="4"/>
    </row>
    <row r="41" spans="1:8" x14ac:dyDescent="0.2">
      <c r="A41" s="786" t="s">
        <v>41</v>
      </c>
      <c r="B41" s="787"/>
      <c r="C41" s="787"/>
      <c r="D41" s="787"/>
      <c r="E41" s="785"/>
      <c r="F41" s="41">
        <f>ROUND(SUM(F39:F40),4)</f>
        <v>0.27339999999999998</v>
      </c>
      <c r="G41" s="100">
        <f>SUM(G37:G40)</f>
        <v>556.64</v>
      </c>
      <c r="H41" s="4">
        <f>ROUND(G34*F41,2)</f>
        <v>556.64</v>
      </c>
    </row>
    <row r="42" spans="1:8" x14ac:dyDescent="0.2">
      <c r="A42" s="779" t="s">
        <v>118</v>
      </c>
      <c r="B42" s="780"/>
      <c r="C42" s="780"/>
      <c r="D42" s="780"/>
      <c r="E42" s="780"/>
      <c r="F42" s="780"/>
      <c r="G42" s="781"/>
      <c r="H42" s="4">
        <f>SUM(G41,G34)</f>
        <v>2592.63</v>
      </c>
    </row>
    <row r="43" spans="1:8" x14ac:dyDescent="0.2">
      <c r="A43" s="42" t="s">
        <v>28</v>
      </c>
      <c r="B43" s="782" t="s">
        <v>42</v>
      </c>
      <c r="C43" s="783"/>
      <c r="D43" s="783"/>
      <c r="E43" s="819"/>
      <c r="F43" s="43">
        <v>0.2</v>
      </c>
      <c r="G43" s="22">
        <f>ROUND((G$34)*F43,2)</f>
        <v>407.2</v>
      </c>
      <c r="H43" s="4"/>
    </row>
    <row r="44" spans="1:8" x14ac:dyDescent="0.2">
      <c r="A44" s="36" t="s">
        <v>29</v>
      </c>
      <c r="B44" s="802" t="s">
        <v>43</v>
      </c>
      <c r="C44" s="803"/>
      <c r="D44" s="803"/>
      <c r="E44" s="816"/>
      <c r="F44" s="94">
        <v>2.5000000000000001E-2</v>
      </c>
      <c r="G44" s="101">
        <f>ROUND((G$34)*F44,2)</f>
        <v>50.9</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30.54</v>
      </c>
      <c r="H46" s="4"/>
    </row>
    <row r="47" spans="1:8" x14ac:dyDescent="0.2">
      <c r="A47" s="36" t="s">
        <v>32</v>
      </c>
      <c r="B47" s="802" t="s">
        <v>46</v>
      </c>
      <c r="C47" s="803"/>
      <c r="D47" s="803"/>
      <c r="E47" s="816"/>
      <c r="F47" s="94">
        <v>0.01</v>
      </c>
      <c r="G47" s="101">
        <f t="shared" si="0"/>
        <v>20.36</v>
      </c>
      <c r="H47" s="4"/>
    </row>
    <row r="48" spans="1:8" x14ac:dyDescent="0.2">
      <c r="A48" s="36" t="s">
        <v>34</v>
      </c>
      <c r="B48" s="802" t="s">
        <v>47</v>
      </c>
      <c r="C48" s="803"/>
      <c r="D48" s="803"/>
      <c r="E48" s="816"/>
      <c r="F48" s="94">
        <v>6.0000000000000001E-3</v>
      </c>
      <c r="G48" s="101">
        <f t="shared" si="0"/>
        <v>12.22</v>
      </c>
      <c r="H48" s="4"/>
    </row>
    <row r="49" spans="1:8" x14ac:dyDescent="0.2">
      <c r="A49" s="36" t="s">
        <v>48</v>
      </c>
      <c r="B49" s="802" t="s">
        <v>49</v>
      </c>
      <c r="C49" s="803"/>
      <c r="D49" s="803"/>
      <c r="E49" s="816"/>
      <c r="F49" s="94">
        <v>2E-3</v>
      </c>
      <c r="G49" s="101">
        <f t="shared" si="0"/>
        <v>4.07</v>
      </c>
      <c r="H49" s="4"/>
    </row>
    <row r="50" spans="1:8" x14ac:dyDescent="0.2">
      <c r="A50" s="96" t="s">
        <v>50</v>
      </c>
      <c r="B50" s="804" t="s">
        <v>51</v>
      </c>
      <c r="C50" s="805"/>
      <c r="D50" s="805"/>
      <c r="E50" s="817"/>
      <c r="F50" s="97">
        <v>0.08</v>
      </c>
      <c r="G50" s="101">
        <f t="shared" si="0"/>
        <v>162.88</v>
      </c>
      <c r="H50" s="4"/>
    </row>
    <row r="51" spans="1:8" x14ac:dyDescent="0.2">
      <c r="A51" s="786" t="s">
        <v>52</v>
      </c>
      <c r="B51" s="787"/>
      <c r="C51" s="787"/>
      <c r="D51" s="787"/>
      <c r="E51" s="785"/>
      <c r="F51" s="41">
        <f>SUM(F43:F50)</f>
        <v>0.33800000000000002</v>
      </c>
      <c r="G51" s="100">
        <f>SUM(G43:G50)</f>
        <v>688.17</v>
      </c>
      <c r="H51" s="4">
        <f>ROUND(G34*F51,2)</f>
        <v>688.16</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42</v>
      </c>
      <c r="G53" s="14">
        <f>IF(ROUND((E53*F53)-(G27*0.06),2)&lt;0,0,ROUND((E53*F53)-(G27*0.06),2))</f>
        <v>0</v>
      </c>
      <c r="H53" s="35"/>
    </row>
    <row r="54" spans="1:8" s="34" customFormat="1" x14ac:dyDescent="0.2">
      <c r="A54" s="36" t="s">
        <v>55</v>
      </c>
      <c r="B54" s="808" t="s">
        <v>56</v>
      </c>
      <c r="C54" s="809"/>
      <c r="D54" s="809"/>
      <c r="E54" s="102">
        <f>(12.5-1.4)</f>
        <v>11.1</v>
      </c>
      <c r="F54" s="103">
        <v>25</v>
      </c>
      <c r="G54" s="91">
        <f>ROUND((E54*F54),2)</f>
        <v>277.5</v>
      </c>
      <c r="H54" s="35"/>
    </row>
    <row r="55" spans="1:8" s="34" customFormat="1" x14ac:dyDescent="0.2">
      <c r="A55" s="36" t="s">
        <v>57</v>
      </c>
      <c r="B55" s="808" t="s">
        <v>58</v>
      </c>
      <c r="C55" s="809"/>
      <c r="D55" s="809"/>
      <c r="E55" s="102">
        <f>138.6</f>
        <v>138.6</v>
      </c>
      <c r="F55" s="103">
        <v>1</v>
      </c>
      <c r="G55" s="91">
        <f>ROUND((E55*F55),2)</f>
        <v>138.6</v>
      </c>
      <c r="H55" s="35"/>
    </row>
    <row r="56" spans="1:8" s="34" customFormat="1" x14ac:dyDescent="0.2">
      <c r="A56" s="36" t="s">
        <v>30</v>
      </c>
      <c r="B56" s="808" t="s">
        <v>254</v>
      </c>
      <c r="C56" s="809"/>
      <c r="D56" s="809"/>
      <c r="E56" s="102">
        <v>34.94</v>
      </c>
      <c r="F56" s="103">
        <v>1</v>
      </c>
      <c r="G56" s="91">
        <f>ROUND((E56*F56),2)</f>
        <v>34.94</v>
      </c>
      <c r="H56" s="35"/>
    </row>
    <row r="57" spans="1:8" s="34" customFormat="1" x14ac:dyDescent="0.2">
      <c r="A57" s="36" t="s">
        <v>31</v>
      </c>
      <c r="B57" s="808" t="s">
        <v>179</v>
      </c>
      <c r="C57" s="809"/>
      <c r="D57" s="809"/>
      <c r="E57" s="603">
        <f>ROUND((F18*30%)*5%,2)*0</f>
        <v>0</v>
      </c>
      <c r="F57" s="103">
        <v>1</v>
      </c>
      <c r="G57" s="91">
        <f>ROUND((E57*F57),2)</f>
        <v>0</v>
      </c>
      <c r="H57" s="35"/>
    </row>
    <row r="58" spans="1:8" s="34" customFormat="1" x14ac:dyDescent="0.2">
      <c r="A58" s="36" t="s">
        <v>32</v>
      </c>
      <c r="B58" s="808" t="s">
        <v>217</v>
      </c>
      <c r="C58" s="809"/>
      <c r="D58" s="809"/>
      <c r="E58" s="102">
        <f>ROUND(((F18/220)*8)*1.5,2)</f>
        <v>94.49</v>
      </c>
      <c r="F58" s="103">
        <v>1</v>
      </c>
      <c r="G58" s="91">
        <f>ROUND((E58*F58)/12,2)</f>
        <v>7.87</v>
      </c>
      <c r="H58" s="35"/>
    </row>
    <row r="59" spans="1:8" s="34" customFormat="1" x14ac:dyDescent="0.2">
      <c r="A59" s="36" t="s">
        <v>34</v>
      </c>
      <c r="B59" s="814" t="s">
        <v>180</v>
      </c>
      <c r="C59" s="815"/>
      <c r="D59" s="815"/>
      <c r="E59" s="102">
        <f>9.31</f>
        <v>9.31</v>
      </c>
      <c r="F59" s="104">
        <v>1</v>
      </c>
      <c r="G59" s="105">
        <f>ROUND((E59*F59),2)</f>
        <v>9.31</v>
      </c>
      <c r="H59" s="35"/>
    </row>
    <row r="60" spans="1:8" s="34" customFormat="1" x14ac:dyDescent="0.2">
      <c r="A60" s="36" t="s">
        <v>48</v>
      </c>
      <c r="B60" s="808" t="s">
        <v>152</v>
      </c>
      <c r="C60" s="809"/>
      <c r="D60" s="809"/>
      <c r="E60" s="102">
        <v>0</v>
      </c>
      <c r="F60" s="103">
        <v>1</v>
      </c>
      <c r="G60" s="106">
        <f>ROUND((E60*F60),2)</f>
        <v>0</v>
      </c>
      <c r="H60" s="35"/>
    </row>
    <row r="61" spans="1:8" s="34" customFormat="1" x14ac:dyDescent="0.2">
      <c r="A61" s="89" t="s">
        <v>50</v>
      </c>
      <c r="B61" s="808" t="s">
        <v>152</v>
      </c>
      <c r="C61" s="809"/>
      <c r="D61" s="809"/>
      <c r="E61" s="102">
        <v>0</v>
      </c>
      <c r="F61" s="103">
        <v>1</v>
      </c>
      <c r="G61" s="106">
        <f>ROUND((E61*F61),2)</f>
        <v>0</v>
      </c>
      <c r="H61" s="35"/>
    </row>
    <row r="62" spans="1:8" s="34" customFormat="1" x14ac:dyDescent="0.2">
      <c r="A62" s="36" t="s">
        <v>151</v>
      </c>
      <c r="B62" s="812" t="s">
        <v>152</v>
      </c>
      <c r="C62" s="813"/>
      <c r="D62" s="813"/>
      <c r="E62" s="107">
        <v>0</v>
      </c>
      <c r="F62" s="103">
        <v>1</v>
      </c>
      <c r="G62" s="91">
        <v>0</v>
      </c>
      <c r="H62" s="35"/>
    </row>
    <row r="63" spans="1:8" x14ac:dyDescent="0.2">
      <c r="A63" s="758" t="s">
        <v>60</v>
      </c>
      <c r="B63" s="759"/>
      <c r="C63" s="759"/>
      <c r="D63" s="759"/>
      <c r="E63" s="759"/>
      <c r="F63" s="760"/>
      <c r="G63" s="93">
        <f>SUM(G53:G62)</f>
        <v>468.22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556.64</v>
      </c>
      <c r="H65" s="4"/>
    </row>
    <row r="66" spans="1:8" x14ac:dyDescent="0.2">
      <c r="A66" s="108" t="s">
        <v>64</v>
      </c>
      <c r="B66" s="749" t="s">
        <v>128</v>
      </c>
      <c r="C66" s="750"/>
      <c r="D66" s="750"/>
      <c r="E66" s="750"/>
      <c r="F66" s="18">
        <f>F51</f>
        <v>0.33800000000000002</v>
      </c>
      <c r="G66" s="109">
        <f>G51</f>
        <v>688.17</v>
      </c>
      <c r="H66" s="4"/>
    </row>
    <row r="67" spans="1:8" x14ac:dyDescent="0.2">
      <c r="A67" s="108" t="s">
        <v>65</v>
      </c>
      <c r="B67" s="749" t="s">
        <v>66</v>
      </c>
      <c r="C67" s="750"/>
      <c r="D67" s="750"/>
      <c r="E67" s="750"/>
      <c r="F67" s="751"/>
      <c r="G67" s="109">
        <f>G63</f>
        <v>468.22</v>
      </c>
      <c r="H67" s="4"/>
    </row>
    <row r="68" spans="1:8" x14ac:dyDescent="0.2">
      <c r="A68" s="758" t="s">
        <v>67</v>
      </c>
      <c r="B68" s="759"/>
      <c r="C68" s="759"/>
      <c r="D68" s="759"/>
      <c r="E68" s="759"/>
      <c r="F68" s="760"/>
      <c r="G68" s="93">
        <f>SUM(G65:G67)</f>
        <v>1713.03</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EPI''s'!I17</f>
        <v>0</v>
      </c>
      <c r="F108" s="24">
        <v>1</v>
      </c>
      <c r="G108" s="91">
        <f>ROUND((E108*F108),2)</f>
        <v>0</v>
      </c>
      <c r="H108" s="4"/>
    </row>
    <row r="109" spans="1:8" s="34" customFormat="1" x14ac:dyDescent="0.2">
      <c r="A109" s="36" t="s">
        <v>29</v>
      </c>
      <c r="B109" s="790" t="str">
        <f>'Uniformes e EPI''s'!A19</f>
        <v>EPI's</v>
      </c>
      <c r="C109" s="742"/>
      <c r="D109" s="742"/>
      <c r="E109" s="44">
        <f>'Uniformes e EPI''s'!H39</f>
        <v>0</v>
      </c>
      <c r="F109" s="46">
        <v>1</v>
      </c>
      <c r="G109" s="91">
        <f>ROUND((E109*F109),2)</f>
        <v>0</v>
      </c>
      <c r="H109" s="35"/>
    </row>
    <row r="110" spans="1:8" s="34" customFormat="1" x14ac:dyDescent="0.2">
      <c r="A110" s="36" t="s">
        <v>30</v>
      </c>
      <c r="B110" s="741" t="s">
        <v>59</v>
      </c>
      <c r="C110" s="742"/>
      <c r="D110" s="742"/>
      <c r="E110" s="44">
        <v>0</v>
      </c>
      <c r="F110" s="47">
        <v>1</v>
      </c>
      <c r="G110" s="91">
        <f t="shared" ref="G110:G115" si="3">ROUND((E110*F110),2)</f>
        <v>0</v>
      </c>
      <c r="H110" s="35"/>
    </row>
    <row r="111" spans="1:8" s="34" customFormat="1" x14ac:dyDescent="0.2">
      <c r="A111" s="156" t="s">
        <v>31</v>
      </c>
      <c r="B111" s="741" t="s">
        <v>59</v>
      </c>
      <c r="C111" s="742"/>
      <c r="D111" s="742"/>
      <c r="E111" s="44">
        <v>0</v>
      </c>
      <c r="F111" s="47">
        <v>1</v>
      </c>
      <c r="G111" s="91">
        <f t="shared" si="3"/>
        <v>0</v>
      </c>
      <c r="H111" s="35"/>
    </row>
    <row r="112" spans="1:8" s="34" customFormat="1" x14ac:dyDescent="0.2">
      <c r="A112" s="36" t="s">
        <v>32</v>
      </c>
      <c r="B112" s="741" t="s">
        <v>59</v>
      </c>
      <c r="C112" s="742"/>
      <c r="D112" s="742"/>
      <c r="E112" s="44">
        <v>0</v>
      </c>
      <c r="F112" s="47">
        <v>1</v>
      </c>
      <c r="G112" s="91">
        <f t="shared" si="3"/>
        <v>0</v>
      </c>
      <c r="H112" s="35"/>
    </row>
    <row r="113" spans="1:8" s="34" customFormat="1" x14ac:dyDescent="0.2">
      <c r="A113" s="36" t="s">
        <v>34</v>
      </c>
      <c r="B113" s="741" t="s">
        <v>59</v>
      </c>
      <c r="C113" s="742"/>
      <c r="D113" s="742"/>
      <c r="E113" s="44">
        <v>0</v>
      </c>
      <c r="F113" s="47">
        <v>1</v>
      </c>
      <c r="G113" s="91">
        <f t="shared" si="3"/>
        <v>0</v>
      </c>
      <c r="H113" s="35"/>
    </row>
    <row r="114" spans="1:8" s="34" customFormat="1" x14ac:dyDescent="0.2">
      <c r="A114" s="156" t="s">
        <v>48</v>
      </c>
      <c r="B114" s="741" t="s">
        <v>59</v>
      </c>
      <c r="C114" s="742"/>
      <c r="D114" s="742"/>
      <c r="E114" s="44">
        <v>0</v>
      </c>
      <c r="F114" s="47">
        <v>1</v>
      </c>
      <c r="G114" s="91">
        <f t="shared" si="3"/>
        <v>0</v>
      </c>
      <c r="H114" s="35"/>
    </row>
    <row r="115" spans="1:8" s="34" customFormat="1" x14ac:dyDescent="0.2">
      <c r="A115" s="36" t="s">
        <v>50</v>
      </c>
      <c r="B115" s="791" t="s">
        <v>59</v>
      </c>
      <c r="C115" s="792"/>
      <c r="D115" s="792"/>
      <c r="E115" s="44">
        <v>0</v>
      </c>
      <c r="F115" s="47">
        <v>1</v>
      </c>
      <c r="G115" s="91">
        <f t="shared" si="3"/>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76.510000000000005</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76.510000000000005</v>
      </c>
      <c r="H127" s="4">
        <f ca="1">ROUND(G139*F127,2)</f>
        <v>76.510000000000005</v>
      </c>
    </row>
    <row r="128" spans="1:8" x14ac:dyDescent="0.2">
      <c r="A128" s="758" t="s">
        <v>104</v>
      </c>
      <c r="B128" s="759"/>
      <c r="C128" s="759"/>
      <c r="D128" s="759"/>
      <c r="E128" s="759"/>
      <c r="F128" s="23">
        <f>SUM(F119,F120,F127)</f>
        <v>0.02</v>
      </c>
      <c r="G128" s="113">
        <f ca="1">SUM(G119:G126)</f>
        <v>76.510000000000005</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2035.99</v>
      </c>
      <c r="H130" s="4"/>
    </row>
    <row r="131" spans="1:8" x14ac:dyDescent="0.2">
      <c r="A131" s="108" t="s">
        <v>29</v>
      </c>
      <c r="B131" s="749" t="s">
        <v>107</v>
      </c>
      <c r="C131" s="750"/>
      <c r="D131" s="750"/>
      <c r="E131" s="750"/>
      <c r="F131" s="751"/>
      <c r="G131" s="109">
        <f>G68</f>
        <v>1713.03</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3749.02</v>
      </c>
      <c r="H135" s="4"/>
    </row>
    <row r="136" spans="1:8" x14ac:dyDescent="0.2">
      <c r="A136" s="108" t="s">
        <v>34</v>
      </c>
      <c r="B136" s="755" t="s">
        <v>112</v>
      </c>
      <c r="C136" s="756"/>
      <c r="D136" s="756"/>
      <c r="E136" s="756"/>
      <c r="F136" s="757"/>
      <c r="G136" s="109">
        <f ca="1">G128</f>
        <v>76.510000000000005</v>
      </c>
      <c r="H136" s="4"/>
    </row>
    <row r="137" spans="1:8" x14ac:dyDescent="0.2">
      <c r="A137" s="758" t="s">
        <v>113</v>
      </c>
      <c r="B137" s="759"/>
      <c r="C137" s="759"/>
      <c r="D137" s="759"/>
      <c r="E137" s="759"/>
      <c r="F137" s="760"/>
      <c r="G137" s="93">
        <f ca="1">SUM(G135:G136)</f>
        <v>3825.53</v>
      </c>
      <c r="H137" s="4">
        <f ca="1">SUM(G130:G136)-G135</f>
        <v>3825.53</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3825.53</v>
      </c>
      <c r="H139" s="4"/>
    </row>
    <row r="140" spans="1:8" x14ac:dyDescent="0.2">
      <c r="A140" s="118"/>
      <c r="B140" s="607" t="s">
        <v>115</v>
      </c>
      <c r="C140" s="607"/>
      <c r="D140" s="607"/>
      <c r="E140" s="607"/>
      <c r="F140" s="608">
        <f>F21</f>
        <v>1</v>
      </c>
      <c r="G140" s="609">
        <f ca="1">G139*F140</f>
        <v>3825.53</v>
      </c>
      <c r="H140" s="4"/>
    </row>
    <row r="141" spans="1:8" x14ac:dyDescent="0.2">
      <c r="F141" s="357"/>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9"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428</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t="s">
        <v>490</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420</v>
      </c>
      <c r="G16" s="844"/>
      <c r="H16" s="3"/>
    </row>
    <row r="17" spans="1:8" ht="14.1" customHeight="1" x14ac:dyDescent="0.2">
      <c r="A17" s="827" t="s">
        <v>21</v>
      </c>
      <c r="B17" s="828"/>
      <c r="C17" s="828"/>
      <c r="D17" s="828"/>
      <c r="E17" s="829"/>
      <c r="F17" s="843" t="s">
        <v>421</v>
      </c>
      <c r="G17" s="844"/>
      <c r="H17" s="3"/>
    </row>
    <row r="18" spans="1:8" ht="14.1" customHeight="1" x14ac:dyDescent="0.2">
      <c r="A18" s="827" t="s">
        <v>1</v>
      </c>
      <c r="B18" s="828"/>
      <c r="C18" s="828"/>
      <c r="D18" s="828"/>
      <c r="E18" s="829"/>
      <c r="F18" s="837">
        <v>1951.37</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1" customHeight="1" x14ac:dyDescent="0.2">
      <c r="A24" s="873" t="s">
        <v>424</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8" t="s">
        <v>27</v>
      </c>
      <c r="G26" s="88" t="s">
        <v>3</v>
      </c>
    </row>
    <row r="27" spans="1:8" s="34" customFormat="1" x14ac:dyDescent="0.2">
      <c r="A27" s="89" t="s">
        <v>28</v>
      </c>
      <c r="B27" s="822" t="s">
        <v>153</v>
      </c>
      <c r="C27" s="822"/>
      <c r="D27" s="822"/>
      <c r="E27" s="822"/>
      <c r="F27" s="90">
        <v>1</v>
      </c>
      <c r="G27" s="91">
        <f>F18*F27</f>
        <v>1951.37</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2254.9699999999998</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187.84</v>
      </c>
      <c r="H37" s="53"/>
    </row>
    <row r="38" spans="1:8" x14ac:dyDescent="0.2">
      <c r="A38" s="96" t="s">
        <v>29</v>
      </c>
      <c r="B38" s="804" t="s">
        <v>157</v>
      </c>
      <c r="C38" s="805"/>
      <c r="D38" s="805"/>
      <c r="E38" s="817"/>
      <c r="F38" s="97">
        <f>ROUND((1/11)+(1/11)/3, 3)</f>
        <v>0.121</v>
      </c>
      <c r="G38" s="8">
        <f>ROUND(G$34*F38,2)</f>
        <v>272.85000000000002</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155.82</v>
      </c>
      <c r="H40" s="4"/>
    </row>
    <row r="41" spans="1:8" x14ac:dyDescent="0.2">
      <c r="A41" s="786" t="s">
        <v>41</v>
      </c>
      <c r="B41" s="787"/>
      <c r="C41" s="787"/>
      <c r="D41" s="787"/>
      <c r="E41" s="785"/>
      <c r="F41" s="41">
        <f>ROUND(SUM(F39:F40),4)</f>
        <v>0.27339999999999998</v>
      </c>
      <c r="G41" s="100">
        <f>SUM(G37:G40)</f>
        <v>616.51</v>
      </c>
      <c r="H41" s="4">
        <f>ROUND(G34*F41,2)</f>
        <v>616.51</v>
      </c>
    </row>
    <row r="42" spans="1:8" x14ac:dyDescent="0.2">
      <c r="A42" s="779" t="s">
        <v>118</v>
      </c>
      <c r="B42" s="780"/>
      <c r="C42" s="780"/>
      <c r="D42" s="780"/>
      <c r="E42" s="780"/>
      <c r="F42" s="780"/>
      <c r="G42" s="781"/>
      <c r="H42" s="4">
        <f>SUM(G41,G34)</f>
        <v>2871.48</v>
      </c>
    </row>
    <row r="43" spans="1:8" x14ac:dyDescent="0.2">
      <c r="A43" s="42" t="s">
        <v>28</v>
      </c>
      <c r="B43" s="782" t="s">
        <v>42</v>
      </c>
      <c r="C43" s="783"/>
      <c r="D43" s="783"/>
      <c r="E43" s="819"/>
      <c r="F43" s="43">
        <v>0.2</v>
      </c>
      <c r="G43" s="22">
        <f>ROUND((G$34)*F43,2)</f>
        <v>450.99</v>
      </c>
      <c r="H43" s="4"/>
    </row>
    <row r="44" spans="1:8" x14ac:dyDescent="0.2">
      <c r="A44" s="36" t="s">
        <v>29</v>
      </c>
      <c r="B44" s="802" t="s">
        <v>43</v>
      </c>
      <c r="C44" s="803"/>
      <c r="D44" s="803"/>
      <c r="E44" s="816"/>
      <c r="F44" s="94">
        <v>2.5000000000000001E-2</v>
      </c>
      <c r="G44" s="101">
        <f>ROUND((G$34)*F44,2)</f>
        <v>56.37</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33.82</v>
      </c>
      <c r="H46" s="4"/>
    </row>
    <row r="47" spans="1:8" x14ac:dyDescent="0.2">
      <c r="A47" s="36" t="s">
        <v>32</v>
      </c>
      <c r="B47" s="802" t="s">
        <v>46</v>
      </c>
      <c r="C47" s="803"/>
      <c r="D47" s="803"/>
      <c r="E47" s="816"/>
      <c r="F47" s="94">
        <v>0.01</v>
      </c>
      <c r="G47" s="101">
        <f t="shared" si="0"/>
        <v>22.55</v>
      </c>
      <c r="H47" s="4"/>
    </row>
    <row r="48" spans="1:8" x14ac:dyDescent="0.2">
      <c r="A48" s="36" t="s">
        <v>34</v>
      </c>
      <c r="B48" s="802" t="s">
        <v>47</v>
      </c>
      <c r="C48" s="803"/>
      <c r="D48" s="803"/>
      <c r="E48" s="816"/>
      <c r="F48" s="94">
        <v>6.0000000000000001E-3</v>
      </c>
      <c r="G48" s="101">
        <f t="shared" si="0"/>
        <v>13.53</v>
      </c>
      <c r="H48" s="4"/>
    </row>
    <row r="49" spans="1:8" x14ac:dyDescent="0.2">
      <c r="A49" s="36" t="s">
        <v>48</v>
      </c>
      <c r="B49" s="802" t="s">
        <v>49</v>
      </c>
      <c r="C49" s="803"/>
      <c r="D49" s="803"/>
      <c r="E49" s="816"/>
      <c r="F49" s="94">
        <v>2E-3</v>
      </c>
      <c r="G49" s="101">
        <f t="shared" si="0"/>
        <v>4.51</v>
      </c>
      <c r="H49" s="4"/>
    </row>
    <row r="50" spans="1:8" x14ac:dyDescent="0.2">
      <c r="A50" s="96" t="s">
        <v>50</v>
      </c>
      <c r="B50" s="804" t="s">
        <v>51</v>
      </c>
      <c r="C50" s="805"/>
      <c r="D50" s="805"/>
      <c r="E50" s="817"/>
      <c r="F50" s="97">
        <v>0.08</v>
      </c>
      <c r="G50" s="101">
        <f t="shared" si="0"/>
        <v>180.4</v>
      </c>
      <c r="H50" s="4"/>
    </row>
    <row r="51" spans="1:8" x14ac:dyDescent="0.2">
      <c r="A51" s="786" t="s">
        <v>52</v>
      </c>
      <c r="B51" s="787"/>
      <c r="C51" s="787"/>
      <c r="D51" s="787"/>
      <c r="E51" s="785"/>
      <c r="F51" s="41">
        <f>SUM(F43:F50)</f>
        <v>0.33800000000000002</v>
      </c>
      <c r="G51" s="100">
        <f>SUM(G43:G50)</f>
        <v>762.17</v>
      </c>
      <c r="H51" s="4">
        <f>ROUND(G34*F51,2)</f>
        <v>762.18</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42</v>
      </c>
      <c r="G53" s="14">
        <f>IF(ROUND((E53*F53)-(G27*0.06),2)&lt;0,0,ROUND((E53*F53)-(G27*0.06),2))</f>
        <v>0</v>
      </c>
      <c r="H53" s="35"/>
    </row>
    <row r="54" spans="1:8" s="34" customFormat="1" x14ac:dyDescent="0.2">
      <c r="A54" s="36" t="s">
        <v>55</v>
      </c>
      <c r="B54" s="808" t="s">
        <v>56</v>
      </c>
      <c r="C54" s="809"/>
      <c r="D54" s="809"/>
      <c r="E54" s="102">
        <f>(12.5-1.4)</f>
        <v>11.1</v>
      </c>
      <c r="F54" s="103">
        <v>25</v>
      </c>
      <c r="G54" s="91">
        <f>ROUND((E54*F54),2)</f>
        <v>277.5</v>
      </c>
      <c r="H54" s="35"/>
    </row>
    <row r="55" spans="1:8" s="34" customFormat="1" x14ac:dyDescent="0.2">
      <c r="A55" s="36" t="s">
        <v>57</v>
      </c>
      <c r="B55" s="808" t="s">
        <v>58</v>
      </c>
      <c r="C55" s="809"/>
      <c r="D55" s="809"/>
      <c r="E55" s="102">
        <f>138.6</f>
        <v>138.6</v>
      </c>
      <c r="F55" s="103">
        <v>1</v>
      </c>
      <c r="G55" s="91">
        <f>ROUND((E55*F55),2)</f>
        <v>138.6</v>
      </c>
      <c r="H55" s="35"/>
    </row>
    <row r="56" spans="1:8" s="34" customFormat="1" x14ac:dyDescent="0.2">
      <c r="A56" s="36" t="s">
        <v>30</v>
      </c>
      <c r="B56" s="808" t="s">
        <v>254</v>
      </c>
      <c r="C56" s="809"/>
      <c r="D56" s="809"/>
      <c r="E56" s="102">
        <v>34.94</v>
      </c>
      <c r="F56" s="103">
        <v>1</v>
      </c>
      <c r="G56" s="91">
        <f>ROUND((E56*F56),2)</f>
        <v>34.94</v>
      </c>
      <c r="H56" s="35"/>
    </row>
    <row r="57" spans="1:8" s="34" customFormat="1" x14ac:dyDescent="0.2">
      <c r="A57" s="36" t="s">
        <v>31</v>
      </c>
      <c r="B57" s="808" t="s">
        <v>179</v>
      </c>
      <c r="C57" s="809"/>
      <c r="D57" s="809"/>
      <c r="E57" s="603">
        <f>ROUND((F18*30%)*5%,2)*0</f>
        <v>0</v>
      </c>
      <c r="F57" s="103">
        <v>1</v>
      </c>
      <c r="G57" s="91">
        <f>ROUND((E57*F57),2)</f>
        <v>0</v>
      </c>
      <c r="H57" s="35"/>
    </row>
    <row r="58" spans="1:8" s="34" customFormat="1" x14ac:dyDescent="0.2">
      <c r="A58" s="36" t="s">
        <v>32</v>
      </c>
      <c r="B58" s="808" t="s">
        <v>217</v>
      </c>
      <c r="C58" s="809"/>
      <c r="D58" s="809"/>
      <c r="E58" s="102">
        <f>ROUND(((F18/220)*8)*1.5,2)</f>
        <v>106.44</v>
      </c>
      <c r="F58" s="103">
        <v>1</v>
      </c>
      <c r="G58" s="91">
        <f>ROUND((E58*F58)/12,2)</f>
        <v>8.8699999999999992</v>
      </c>
      <c r="H58" s="35"/>
    </row>
    <row r="59" spans="1:8" s="34" customFormat="1" x14ac:dyDescent="0.2">
      <c r="A59" s="36" t="s">
        <v>34</v>
      </c>
      <c r="B59" s="814" t="s">
        <v>180</v>
      </c>
      <c r="C59" s="815"/>
      <c r="D59" s="815"/>
      <c r="E59" s="102">
        <f>9.31</f>
        <v>9.31</v>
      </c>
      <c r="F59" s="104">
        <v>1</v>
      </c>
      <c r="G59" s="105">
        <f>ROUND((E59*F59),2)</f>
        <v>9.31</v>
      </c>
      <c r="H59" s="35"/>
    </row>
    <row r="60" spans="1:8" s="34" customFormat="1" x14ac:dyDescent="0.2">
      <c r="A60" s="36" t="s">
        <v>48</v>
      </c>
      <c r="B60" s="808" t="s">
        <v>152</v>
      </c>
      <c r="C60" s="809"/>
      <c r="D60" s="809"/>
      <c r="E60" s="102">
        <v>0</v>
      </c>
      <c r="F60" s="103">
        <v>1</v>
      </c>
      <c r="G60" s="106">
        <f>ROUND((E60*F60),2)</f>
        <v>0</v>
      </c>
      <c r="H60" s="35"/>
    </row>
    <row r="61" spans="1:8" s="34" customFormat="1" x14ac:dyDescent="0.2">
      <c r="A61" s="89" t="s">
        <v>50</v>
      </c>
      <c r="B61" s="808" t="s">
        <v>152</v>
      </c>
      <c r="C61" s="809"/>
      <c r="D61" s="809"/>
      <c r="E61" s="102">
        <v>0</v>
      </c>
      <c r="F61" s="103">
        <v>1</v>
      </c>
      <c r="G61" s="106">
        <f>ROUND((E61*F61),2)</f>
        <v>0</v>
      </c>
      <c r="H61" s="35"/>
    </row>
    <row r="62" spans="1:8" s="34" customFormat="1" x14ac:dyDescent="0.2">
      <c r="A62" s="36" t="s">
        <v>151</v>
      </c>
      <c r="B62" s="812" t="s">
        <v>152</v>
      </c>
      <c r="C62" s="813"/>
      <c r="D62" s="813"/>
      <c r="E62" s="107">
        <v>0</v>
      </c>
      <c r="F62" s="103">
        <v>1</v>
      </c>
      <c r="G62" s="91">
        <v>0</v>
      </c>
      <c r="H62" s="35"/>
    </row>
    <row r="63" spans="1:8" x14ac:dyDescent="0.2">
      <c r="A63" s="758" t="s">
        <v>60</v>
      </c>
      <c r="B63" s="759"/>
      <c r="C63" s="759"/>
      <c r="D63" s="759"/>
      <c r="E63" s="759"/>
      <c r="F63" s="760"/>
      <c r="G63" s="93">
        <f>SUM(G53:G62)</f>
        <v>469.22</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616.51</v>
      </c>
      <c r="H65" s="4"/>
    </row>
    <row r="66" spans="1:8" x14ac:dyDescent="0.2">
      <c r="A66" s="108" t="s">
        <v>64</v>
      </c>
      <c r="B66" s="749" t="s">
        <v>128</v>
      </c>
      <c r="C66" s="750"/>
      <c r="D66" s="750"/>
      <c r="E66" s="750"/>
      <c r="F66" s="18">
        <f>F51</f>
        <v>0.33800000000000002</v>
      </c>
      <c r="G66" s="109">
        <f>G51</f>
        <v>762.17</v>
      </c>
      <c r="H66" s="4"/>
    </row>
    <row r="67" spans="1:8" x14ac:dyDescent="0.2">
      <c r="A67" s="108" t="s">
        <v>65</v>
      </c>
      <c r="B67" s="749" t="s">
        <v>66</v>
      </c>
      <c r="C67" s="750"/>
      <c r="D67" s="750"/>
      <c r="E67" s="750"/>
      <c r="F67" s="751"/>
      <c r="G67" s="109">
        <f>G63</f>
        <v>469.22</v>
      </c>
      <c r="H67" s="4"/>
    </row>
    <row r="68" spans="1:8" x14ac:dyDescent="0.2">
      <c r="A68" s="758" t="s">
        <v>67</v>
      </c>
      <c r="B68" s="759"/>
      <c r="C68" s="759"/>
      <c r="D68" s="759"/>
      <c r="E68" s="759"/>
      <c r="F68" s="760"/>
      <c r="G68" s="93">
        <f>SUM(G65:G67)</f>
        <v>1847.9</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EPI''s'!I17</f>
        <v>0</v>
      </c>
      <c r="F108" s="24">
        <v>1</v>
      </c>
      <c r="G108" s="91">
        <f>ROUND((E108*F108),2)</f>
        <v>0</v>
      </c>
      <c r="H108" s="4"/>
    </row>
    <row r="109" spans="1:8" s="34" customFormat="1" x14ac:dyDescent="0.2">
      <c r="A109" s="36" t="s">
        <v>29</v>
      </c>
      <c r="B109" s="790" t="str">
        <f>'Uniformes e EPI''s'!A19</f>
        <v>EPI's</v>
      </c>
      <c r="C109" s="742"/>
      <c r="D109" s="742"/>
      <c r="E109" s="44">
        <f>'Uniformes e EPI''s'!H39</f>
        <v>0</v>
      </c>
      <c r="F109" s="46">
        <v>1</v>
      </c>
      <c r="G109" s="91">
        <f>ROUND((E109*F109),2)</f>
        <v>0</v>
      </c>
      <c r="H109" s="35"/>
    </row>
    <row r="110" spans="1:8" s="34" customFormat="1" x14ac:dyDescent="0.2">
      <c r="A110" s="36" t="s">
        <v>30</v>
      </c>
      <c r="B110" s="741" t="s">
        <v>59</v>
      </c>
      <c r="C110" s="742"/>
      <c r="D110" s="742"/>
      <c r="E110" s="44">
        <v>0</v>
      </c>
      <c r="F110" s="47">
        <v>1</v>
      </c>
      <c r="G110" s="91">
        <f t="shared" ref="G110:G115" si="3">ROUND((E110*F110),2)</f>
        <v>0</v>
      </c>
      <c r="H110" s="35"/>
    </row>
    <row r="111" spans="1:8" s="34" customFormat="1" x14ac:dyDescent="0.2">
      <c r="A111" s="156" t="s">
        <v>31</v>
      </c>
      <c r="B111" s="741" t="s">
        <v>59</v>
      </c>
      <c r="C111" s="742"/>
      <c r="D111" s="742"/>
      <c r="E111" s="44">
        <v>0</v>
      </c>
      <c r="F111" s="47">
        <v>1</v>
      </c>
      <c r="G111" s="91">
        <f t="shared" si="3"/>
        <v>0</v>
      </c>
      <c r="H111" s="35"/>
    </row>
    <row r="112" spans="1:8" s="34" customFormat="1" x14ac:dyDescent="0.2">
      <c r="A112" s="36" t="s">
        <v>32</v>
      </c>
      <c r="B112" s="741" t="s">
        <v>59</v>
      </c>
      <c r="C112" s="742"/>
      <c r="D112" s="742"/>
      <c r="E112" s="44">
        <v>0</v>
      </c>
      <c r="F112" s="47">
        <v>1</v>
      </c>
      <c r="G112" s="91">
        <f t="shared" si="3"/>
        <v>0</v>
      </c>
      <c r="H112" s="35"/>
    </row>
    <row r="113" spans="1:8" s="34" customFormat="1" x14ac:dyDescent="0.2">
      <c r="A113" s="36" t="s">
        <v>34</v>
      </c>
      <c r="B113" s="741" t="s">
        <v>59</v>
      </c>
      <c r="C113" s="742"/>
      <c r="D113" s="742"/>
      <c r="E113" s="44">
        <v>0</v>
      </c>
      <c r="F113" s="47">
        <v>1</v>
      </c>
      <c r="G113" s="91">
        <f t="shared" si="3"/>
        <v>0</v>
      </c>
      <c r="H113" s="35"/>
    </row>
    <row r="114" spans="1:8" s="34" customFormat="1" x14ac:dyDescent="0.2">
      <c r="A114" s="156" t="s">
        <v>48</v>
      </c>
      <c r="B114" s="741" t="s">
        <v>59</v>
      </c>
      <c r="C114" s="742"/>
      <c r="D114" s="742"/>
      <c r="E114" s="44">
        <v>0</v>
      </c>
      <c r="F114" s="47">
        <v>1</v>
      </c>
      <c r="G114" s="91">
        <f t="shared" si="3"/>
        <v>0</v>
      </c>
      <c r="H114" s="35"/>
    </row>
    <row r="115" spans="1:8" s="34" customFormat="1" x14ac:dyDescent="0.2">
      <c r="A115" s="36" t="s">
        <v>50</v>
      </c>
      <c r="B115" s="791" t="s">
        <v>59</v>
      </c>
      <c r="C115" s="792"/>
      <c r="D115" s="792"/>
      <c r="E115" s="44">
        <v>0</v>
      </c>
      <c r="F115" s="47">
        <v>1</v>
      </c>
      <c r="G115" s="91">
        <f t="shared" si="3"/>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83.73</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83.73</v>
      </c>
      <c r="H127" s="4">
        <f ca="1">ROUND(G139*F127,2)</f>
        <v>83.73</v>
      </c>
    </row>
    <row r="128" spans="1:8" x14ac:dyDescent="0.2">
      <c r="A128" s="758" t="s">
        <v>104</v>
      </c>
      <c r="B128" s="759"/>
      <c r="C128" s="759"/>
      <c r="D128" s="759"/>
      <c r="E128" s="759"/>
      <c r="F128" s="23">
        <f>SUM(F119,F120,F127)</f>
        <v>0.02</v>
      </c>
      <c r="G128" s="113">
        <f ca="1">SUM(G119:G126)</f>
        <v>83.73</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2254.9699999999998</v>
      </c>
      <c r="H130" s="4"/>
    </row>
    <row r="131" spans="1:8" x14ac:dyDescent="0.2">
      <c r="A131" s="108" t="s">
        <v>29</v>
      </c>
      <c r="B131" s="749" t="s">
        <v>107</v>
      </c>
      <c r="C131" s="750"/>
      <c r="D131" s="750"/>
      <c r="E131" s="750"/>
      <c r="F131" s="751"/>
      <c r="G131" s="109">
        <f>G68</f>
        <v>1847.9</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4102.87</v>
      </c>
      <c r="H135" s="4"/>
    </row>
    <row r="136" spans="1:8" x14ac:dyDescent="0.2">
      <c r="A136" s="108" t="s">
        <v>34</v>
      </c>
      <c r="B136" s="755" t="s">
        <v>112</v>
      </c>
      <c r="C136" s="756"/>
      <c r="D136" s="756"/>
      <c r="E136" s="756"/>
      <c r="F136" s="757"/>
      <c r="G136" s="109">
        <f ca="1">G128</f>
        <v>83.73</v>
      </c>
      <c r="H136" s="4"/>
    </row>
    <row r="137" spans="1:8" x14ac:dyDescent="0.2">
      <c r="A137" s="758" t="s">
        <v>113</v>
      </c>
      <c r="B137" s="759"/>
      <c r="C137" s="759"/>
      <c r="D137" s="759"/>
      <c r="E137" s="759"/>
      <c r="F137" s="760"/>
      <c r="G137" s="93">
        <f ca="1">SUM(G135:G136)</f>
        <v>4186.6000000000004</v>
      </c>
      <c r="H137" s="4">
        <f ca="1">SUM(G130:G136)-G135</f>
        <v>4186.6000000000004</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4186.6000000000004</v>
      </c>
      <c r="H139" s="4"/>
    </row>
    <row r="140" spans="1:8" x14ac:dyDescent="0.2">
      <c r="A140" s="118"/>
      <c r="B140" s="607" t="s">
        <v>115</v>
      </c>
      <c r="C140" s="607"/>
      <c r="D140" s="607"/>
      <c r="E140" s="607"/>
      <c r="F140" s="608">
        <f>F21</f>
        <v>1</v>
      </c>
      <c r="G140" s="609">
        <f ca="1">G139*F140</f>
        <v>4186.6000000000004</v>
      </c>
      <c r="H140" s="4"/>
    </row>
    <row r="141" spans="1:8" x14ac:dyDescent="0.2">
      <c r="F141" s="357"/>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3"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428</v>
      </c>
      <c r="G7" s="863"/>
    </row>
    <row r="8" spans="1:8" ht="19.5" customHeight="1" x14ac:dyDescent="0.2">
      <c r="A8" s="867" t="s">
        <v>215</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t="s">
        <v>490</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425</v>
      </c>
      <c r="G16" s="844"/>
      <c r="H16" s="3"/>
    </row>
    <row r="17" spans="1:8" ht="14.1" customHeight="1" x14ac:dyDescent="0.2">
      <c r="A17" s="827" t="s">
        <v>21</v>
      </c>
      <c r="B17" s="828"/>
      <c r="C17" s="828"/>
      <c r="D17" s="828"/>
      <c r="E17" s="829"/>
      <c r="F17" s="843" t="s">
        <v>421</v>
      </c>
      <c r="G17" s="844"/>
      <c r="H17" s="3"/>
    </row>
    <row r="18" spans="1:8" ht="14.1" customHeight="1" x14ac:dyDescent="0.2">
      <c r="A18" s="827" t="s">
        <v>1</v>
      </c>
      <c r="B18" s="828"/>
      <c r="C18" s="828"/>
      <c r="D18" s="828"/>
      <c r="E18" s="829"/>
      <c r="F18" s="837">
        <v>1692.55</v>
      </c>
      <c r="G18" s="838"/>
    </row>
    <row r="19" spans="1:8" ht="14.1" customHeight="1" x14ac:dyDescent="0.2">
      <c r="A19" s="832" t="s">
        <v>8</v>
      </c>
      <c r="B19" s="833"/>
      <c r="C19" s="833"/>
      <c r="D19" s="833"/>
      <c r="E19" s="834"/>
      <c r="F19" s="839">
        <v>45717</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1" customHeight="1" x14ac:dyDescent="0.2">
      <c r="A24" s="873" t="s">
        <v>424</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8" t="s">
        <v>27</v>
      </c>
      <c r="G26" s="88" t="s">
        <v>3</v>
      </c>
    </row>
    <row r="27" spans="1:8" s="34" customFormat="1" x14ac:dyDescent="0.2">
      <c r="A27" s="89" t="s">
        <v>28</v>
      </c>
      <c r="B27" s="822" t="s">
        <v>153</v>
      </c>
      <c r="C27" s="822"/>
      <c r="D27" s="822"/>
      <c r="E27" s="822"/>
      <c r="F27" s="90">
        <v>1</v>
      </c>
      <c r="G27" s="91">
        <f>F18*F27</f>
        <v>1692.55</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0.2</v>
      </c>
      <c r="G29" s="91">
        <f>ROUND(F15*F29,2)</f>
        <v>303.60000000000002</v>
      </c>
      <c r="H29" s="55"/>
    </row>
    <row r="30" spans="1:8" s="34" customFormat="1" x14ac:dyDescent="0.2">
      <c r="A30" s="89" t="s">
        <v>31</v>
      </c>
      <c r="B30" s="820" t="s">
        <v>154</v>
      </c>
      <c r="C30" s="820"/>
      <c r="D30" s="820"/>
      <c r="E30" s="820"/>
      <c r="F30" s="92"/>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1996.15</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166.28</v>
      </c>
      <c r="H37" s="53"/>
    </row>
    <row r="38" spans="1:8" x14ac:dyDescent="0.2">
      <c r="A38" s="96" t="s">
        <v>29</v>
      </c>
      <c r="B38" s="804" t="s">
        <v>157</v>
      </c>
      <c r="C38" s="805"/>
      <c r="D38" s="805"/>
      <c r="E38" s="817"/>
      <c r="F38" s="97">
        <f>ROUND((1/11)+(1/11)/3, 3)</f>
        <v>0.121</v>
      </c>
      <c r="G38" s="8">
        <f>ROUND(G$34*F38,2)</f>
        <v>241.53</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137.93</v>
      </c>
      <c r="H40" s="4"/>
    </row>
    <row r="41" spans="1:8" x14ac:dyDescent="0.2">
      <c r="A41" s="786" t="s">
        <v>41</v>
      </c>
      <c r="B41" s="787"/>
      <c r="C41" s="787"/>
      <c r="D41" s="787"/>
      <c r="E41" s="785"/>
      <c r="F41" s="41">
        <f>ROUND(SUM(F39:F40),4)</f>
        <v>0.27339999999999998</v>
      </c>
      <c r="G41" s="100">
        <f>SUM(G37:G40)</f>
        <v>545.74</v>
      </c>
      <c r="H41" s="4">
        <f>ROUND(G34*F41,2)</f>
        <v>545.75</v>
      </c>
    </row>
    <row r="42" spans="1:8" x14ac:dyDescent="0.2">
      <c r="A42" s="779" t="s">
        <v>118</v>
      </c>
      <c r="B42" s="780"/>
      <c r="C42" s="780"/>
      <c r="D42" s="780"/>
      <c r="E42" s="780"/>
      <c r="F42" s="780"/>
      <c r="G42" s="781"/>
      <c r="H42" s="4">
        <f>SUM(G41,G34)</f>
        <v>2541.89</v>
      </c>
    </row>
    <row r="43" spans="1:8" x14ac:dyDescent="0.2">
      <c r="A43" s="42" t="s">
        <v>28</v>
      </c>
      <c r="B43" s="782" t="s">
        <v>42</v>
      </c>
      <c r="C43" s="783"/>
      <c r="D43" s="783"/>
      <c r="E43" s="819"/>
      <c r="F43" s="43">
        <v>0.2</v>
      </c>
      <c r="G43" s="22">
        <f>ROUND((G$34)*F43,2)</f>
        <v>399.23</v>
      </c>
      <c r="H43" s="4"/>
    </row>
    <row r="44" spans="1:8" x14ac:dyDescent="0.2">
      <c r="A44" s="36" t="s">
        <v>29</v>
      </c>
      <c r="B44" s="802" t="s">
        <v>43</v>
      </c>
      <c r="C44" s="803"/>
      <c r="D44" s="803"/>
      <c r="E44" s="816"/>
      <c r="F44" s="94">
        <v>2.5000000000000001E-2</v>
      </c>
      <c r="G44" s="101">
        <f>ROUND((G$34)*F44,2)</f>
        <v>49.9</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29.94</v>
      </c>
      <c r="H46" s="4"/>
    </row>
    <row r="47" spans="1:8" x14ac:dyDescent="0.2">
      <c r="A47" s="36" t="s">
        <v>32</v>
      </c>
      <c r="B47" s="802" t="s">
        <v>46</v>
      </c>
      <c r="C47" s="803"/>
      <c r="D47" s="803"/>
      <c r="E47" s="816"/>
      <c r="F47" s="94">
        <v>0.01</v>
      </c>
      <c r="G47" s="101">
        <f t="shared" si="0"/>
        <v>19.96</v>
      </c>
      <c r="H47" s="4"/>
    </row>
    <row r="48" spans="1:8" x14ac:dyDescent="0.2">
      <c r="A48" s="36" t="s">
        <v>34</v>
      </c>
      <c r="B48" s="802" t="s">
        <v>47</v>
      </c>
      <c r="C48" s="803"/>
      <c r="D48" s="803"/>
      <c r="E48" s="816"/>
      <c r="F48" s="94">
        <v>6.0000000000000001E-3</v>
      </c>
      <c r="G48" s="101">
        <f t="shared" si="0"/>
        <v>11.98</v>
      </c>
      <c r="H48" s="4"/>
    </row>
    <row r="49" spans="1:8" x14ac:dyDescent="0.2">
      <c r="A49" s="36" t="s">
        <v>48</v>
      </c>
      <c r="B49" s="802" t="s">
        <v>49</v>
      </c>
      <c r="C49" s="803"/>
      <c r="D49" s="803"/>
      <c r="E49" s="816"/>
      <c r="F49" s="94">
        <v>2E-3</v>
      </c>
      <c r="G49" s="101">
        <f t="shared" si="0"/>
        <v>3.99</v>
      </c>
      <c r="H49" s="4"/>
    </row>
    <row r="50" spans="1:8" x14ac:dyDescent="0.2">
      <c r="A50" s="96" t="s">
        <v>50</v>
      </c>
      <c r="B50" s="804" t="s">
        <v>51</v>
      </c>
      <c r="C50" s="805"/>
      <c r="D50" s="805"/>
      <c r="E50" s="817"/>
      <c r="F50" s="97">
        <v>0.08</v>
      </c>
      <c r="G50" s="101">
        <f t="shared" si="0"/>
        <v>159.69</v>
      </c>
      <c r="H50" s="4"/>
    </row>
    <row r="51" spans="1:8" x14ac:dyDescent="0.2">
      <c r="A51" s="786" t="s">
        <v>52</v>
      </c>
      <c r="B51" s="787"/>
      <c r="C51" s="787"/>
      <c r="D51" s="787"/>
      <c r="E51" s="785"/>
      <c r="F51" s="41">
        <f>SUM(F43:F50)</f>
        <v>0.33800000000000002</v>
      </c>
      <c r="G51" s="100">
        <f>SUM(G43:G50)</f>
        <v>674.69</v>
      </c>
      <c r="H51" s="4">
        <f>ROUND(G34*F51,2)</f>
        <v>674.7</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42</v>
      </c>
      <c r="G53" s="14">
        <f>IF(ROUND((E53*F53)-(G27*0.06),2)&lt;0,0,ROUND((E53*F53)-(G27*0.06),2))</f>
        <v>0</v>
      </c>
      <c r="H53" s="35"/>
    </row>
    <row r="54" spans="1:8" s="34" customFormat="1" x14ac:dyDescent="0.2">
      <c r="A54" s="36" t="s">
        <v>55</v>
      </c>
      <c r="B54" s="808" t="s">
        <v>56</v>
      </c>
      <c r="C54" s="809"/>
      <c r="D54" s="809"/>
      <c r="E54" s="102">
        <f>(12.5-1.4)</f>
        <v>11.1</v>
      </c>
      <c r="F54" s="103">
        <v>25</v>
      </c>
      <c r="G54" s="91">
        <f>ROUND((E54*F54),2)</f>
        <v>277.5</v>
      </c>
      <c r="H54" s="35"/>
    </row>
    <row r="55" spans="1:8" s="34" customFormat="1" x14ac:dyDescent="0.2">
      <c r="A55" s="36" t="s">
        <v>57</v>
      </c>
      <c r="B55" s="808" t="s">
        <v>58</v>
      </c>
      <c r="C55" s="809"/>
      <c r="D55" s="809"/>
      <c r="E55" s="102">
        <f>138.6</f>
        <v>138.6</v>
      </c>
      <c r="F55" s="103">
        <v>1</v>
      </c>
      <c r="G55" s="91">
        <f>ROUND((E55*F55),2)</f>
        <v>138.6</v>
      </c>
      <c r="H55" s="35"/>
    </row>
    <row r="56" spans="1:8" s="34" customFormat="1" x14ac:dyDescent="0.2">
      <c r="A56" s="36" t="s">
        <v>30</v>
      </c>
      <c r="B56" s="808" t="s">
        <v>254</v>
      </c>
      <c r="C56" s="809"/>
      <c r="D56" s="809"/>
      <c r="E56" s="102">
        <v>34.94</v>
      </c>
      <c r="F56" s="103">
        <v>1</v>
      </c>
      <c r="G56" s="91">
        <f>ROUND((E56*F56),2)</f>
        <v>34.94</v>
      </c>
      <c r="H56" s="35"/>
    </row>
    <row r="57" spans="1:8" s="34" customFormat="1" x14ac:dyDescent="0.2">
      <c r="A57" s="36" t="s">
        <v>31</v>
      </c>
      <c r="B57" s="808" t="s">
        <v>179</v>
      </c>
      <c r="C57" s="809"/>
      <c r="D57" s="809"/>
      <c r="E57" s="603">
        <f>ROUND((F18*30%)*5%,2)*0</f>
        <v>0</v>
      </c>
      <c r="F57" s="103">
        <v>1</v>
      </c>
      <c r="G57" s="91">
        <f>ROUND((E57*F57),2)</f>
        <v>0</v>
      </c>
      <c r="H57" s="35"/>
    </row>
    <row r="58" spans="1:8" s="34" customFormat="1" x14ac:dyDescent="0.2">
      <c r="A58" s="36" t="s">
        <v>32</v>
      </c>
      <c r="B58" s="808" t="s">
        <v>217</v>
      </c>
      <c r="C58" s="809"/>
      <c r="D58" s="809"/>
      <c r="E58" s="102">
        <f>ROUND(((F18/220)*8)*1.5,2)</f>
        <v>92.32</v>
      </c>
      <c r="F58" s="103">
        <v>1</v>
      </c>
      <c r="G58" s="91">
        <f>ROUND((E58*F58)/12,2)</f>
        <v>7.69</v>
      </c>
      <c r="H58" s="35"/>
    </row>
    <row r="59" spans="1:8" s="34" customFormat="1" x14ac:dyDescent="0.2">
      <c r="A59" s="36" t="s">
        <v>34</v>
      </c>
      <c r="B59" s="814" t="s">
        <v>180</v>
      </c>
      <c r="C59" s="815"/>
      <c r="D59" s="815"/>
      <c r="E59" s="102">
        <f>9.31</f>
        <v>9.31</v>
      </c>
      <c r="F59" s="104">
        <v>1</v>
      </c>
      <c r="G59" s="105">
        <f>ROUND((E59*F59),2)</f>
        <v>9.31</v>
      </c>
      <c r="H59" s="35"/>
    </row>
    <row r="60" spans="1:8" s="34" customFormat="1" x14ac:dyDescent="0.2">
      <c r="A60" s="36" t="s">
        <v>48</v>
      </c>
      <c r="B60" s="808" t="s">
        <v>152</v>
      </c>
      <c r="C60" s="809"/>
      <c r="D60" s="809"/>
      <c r="E60" s="102">
        <v>0</v>
      </c>
      <c r="F60" s="103">
        <v>1</v>
      </c>
      <c r="G60" s="106">
        <f>ROUND((E60*F60),2)</f>
        <v>0</v>
      </c>
      <c r="H60" s="35"/>
    </row>
    <row r="61" spans="1:8" s="34" customFormat="1" x14ac:dyDescent="0.2">
      <c r="A61" s="89" t="s">
        <v>50</v>
      </c>
      <c r="B61" s="808" t="s">
        <v>152</v>
      </c>
      <c r="C61" s="809"/>
      <c r="D61" s="809"/>
      <c r="E61" s="102">
        <v>0</v>
      </c>
      <c r="F61" s="103">
        <v>1</v>
      </c>
      <c r="G61" s="106">
        <f>ROUND((E61*F61),2)</f>
        <v>0</v>
      </c>
      <c r="H61" s="35"/>
    </row>
    <row r="62" spans="1:8" s="34" customFormat="1" x14ac:dyDescent="0.2">
      <c r="A62" s="36" t="s">
        <v>151</v>
      </c>
      <c r="B62" s="812" t="s">
        <v>152</v>
      </c>
      <c r="C62" s="813"/>
      <c r="D62" s="813"/>
      <c r="E62" s="107">
        <v>0</v>
      </c>
      <c r="F62" s="103">
        <v>1</v>
      </c>
      <c r="G62" s="91">
        <v>0</v>
      </c>
      <c r="H62" s="35"/>
    </row>
    <row r="63" spans="1:8" x14ac:dyDescent="0.2">
      <c r="A63" s="758" t="s">
        <v>60</v>
      </c>
      <c r="B63" s="759"/>
      <c r="C63" s="759"/>
      <c r="D63" s="759"/>
      <c r="E63" s="759"/>
      <c r="F63" s="760"/>
      <c r="G63" s="93">
        <f>SUM(G53:G62)</f>
        <v>468.04</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545.74</v>
      </c>
      <c r="H65" s="4"/>
    </row>
    <row r="66" spans="1:8" x14ac:dyDescent="0.2">
      <c r="A66" s="108" t="s">
        <v>64</v>
      </c>
      <c r="B66" s="749" t="s">
        <v>128</v>
      </c>
      <c r="C66" s="750"/>
      <c r="D66" s="750"/>
      <c r="E66" s="750"/>
      <c r="F66" s="18">
        <f>F51</f>
        <v>0.33800000000000002</v>
      </c>
      <c r="G66" s="109">
        <f>G51</f>
        <v>674.69</v>
      </c>
      <c r="H66" s="4"/>
    </row>
    <row r="67" spans="1:8" x14ac:dyDescent="0.2">
      <c r="A67" s="108" t="s">
        <v>65</v>
      </c>
      <c r="B67" s="749" t="s">
        <v>66</v>
      </c>
      <c r="C67" s="750"/>
      <c r="D67" s="750"/>
      <c r="E67" s="750"/>
      <c r="F67" s="751"/>
      <c r="G67" s="109">
        <f>G63</f>
        <v>468.04</v>
      </c>
      <c r="H67" s="4"/>
    </row>
    <row r="68" spans="1:8" x14ac:dyDescent="0.2">
      <c r="A68" s="758" t="s">
        <v>67</v>
      </c>
      <c r="B68" s="759"/>
      <c r="C68" s="759"/>
      <c r="D68" s="759"/>
      <c r="E68" s="759"/>
      <c r="F68" s="760"/>
      <c r="G68" s="93">
        <f>SUM(G65:G67)</f>
        <v>1688.47</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EPI''s'!I17</f>
        <v>0</v>
      </c>
      <c r="F108" s="24">
        <v>1</v>
      </c>
      <c r="G108" s="91">
        <f>ROUND((E108*F108),2)</f>
        <v>0</v>
      </c>
      <c r="H108" s="4"/>
    </row>
    <row r="109" spans="1:8" s="34" customFormat="1" x14ac:dyDescent="0.2">
      <c r="A109" s="36" t="s">
        <v>29</v>
      </c>
      <c r="B109" s="790" t="str">
        <f>'Uniformes e EPI''s'!A19</f>
        <v>EPI's</v>
      </c>
      <c r="C109" s="742"/>
      <c r="D109" s="742"/>
      <c r="E109" s="44">
        <f>'Uniformes e EPI''s'!H39</f>
        <v>0</v>
      </c>
      <c r="F109" s="46">
        <v>1</v>
      </c>
      <c r="G109" s="91">
        <f>ROUND((E109*F109),2)</f>
        <v>0</v>
      </c>
      <c r="H109" s="35"/>
    </row>
    <row r="110" spans="1:8" s="34" customFormat="1" x14ac:dyDescent="0.2">
      <c r="A110" s="36" t="s">
        <v>30</v>
      </c>
      <c r="B110" s="741" t="s">
        <v>59</v>
      </c>
      <c r="C110" s="742"/>
      <c r="D110" s="742"/>
      <c r="E110" s="44">
        <v>0</v>
      </c>
      <c r="F110" s="47">
        <v>1</v>
      </c>
      <c r="G110" s="91">
        <f t="shared" ref="G110:G115" si="3">ROUND((E110*F110),2)</f>
        <v>0</v>
      </c>
      <c r="H110" s="35"/>
    </row>
    <row r="111" spans="1:8" s="34" customFormat="1" x14ac:dyDescent="0.2">
      <c r="A111" s="156" t="s">
        <v>31</v>
      </c>
      <c r="B111" s="741" t="s">
        <v>59</v>
      </c>
      <c r="C111" s="742"/>
      <c r="D111" s="742"/>
      <c r="E111" s="44">
        <v>0</v>
      </c>
      <c r="F111" s="47">
        <v>1</v>
      </c>
      <c r="G111" s="91">
        <f t="shared" si="3"/>
        <v>0</v>
      </c>
      <c r="H111" s="35"/>
    </row>
    <row r="112" spans="1:8" s="34" customFormat="1" x14ac:dyDescent="0.2">
      <c r="A112" s="36" t="s">
        <v>32</v>
      </c>
      <c r="B112" s="741" t="s">
        <v>59</v>
      </c>
      <c r="C112" s="742"/>
      <c r="D112" s="742"/>
      <c r="E112" s="44">
        <v>0</v>
      </c>
      <c r="F112" s="47">
        <v>1</v>
      </c>
      <c r="G112" s="91">
        <f t="shared" si="3"/>
        <v>0</v>
      </c>
      <c r="H112" s="35"/>
    </row>
    <row r="113" spans="1:8" s="34" customFormat="1" x14ac:dyDescent="0.2">
      <c r="A113" s="36" t="s">
        <v>34</v>
      </c>
      <c r="B113" s="741" t="s">
        <v>59</v>
      </c>
      <c r="C113" s="742"/>
      <c r="D113" s="742"/>
      <c r="E113" s="44">
        <v>0</v>
      </c>
      <c r="F113" s="47">
        <v>1</v>
      </c>
      <c r="G113" s="91">
        <f t="shared" si="3"/>
        <v>0</v>
      </c>
      <c r="H113" s="35"/>
    </row>
    <row r="114" spans="1:8" s="34" customFormat="1" x14ac:dyDescent="0.2">
      <c r="A114" s="156" t="s">
        <v>48</v>
      </c>
      <c r="B114" s="741" t="s">
        <v>59</v>
      </c>
      <c r="C114" s="742"/>
      <c r="D114" s="742"/>
      <c r="E114" s="44">
        <v>0</v>
      </c>
      <c r="F114" s="47">
        <v>1</v>
      </c>
      <c r="G114" s="91">
        <f t="shared" si="3"/>
        <v>0</v>
      </c>
      <c r="H114" s="35"/>
    </row>
    <row r="115" spans="1:8" s="34" customFormat="1" x14ac:dyDescent="0.2">
      <c r="A115" s="36" t="s">
        <v>50</v>
      </c>
      <c r="B115" s="791" t="s">
        <v>59</v>
      </c>
      <c r="C115" s="792"/>
      <c r="D115" s="792"/>
      <c r="E115" s="44">
        <v>0</v>
      </c>
      <c r="F115" s="47">
        <v>1</v>
      </c>
      <c r="G115" s="91">
        <f t="shared" si="3"/>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75.2</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75.2</v>
      </c>
      <c r="H127" s="4">
        <f ca="1">ROUND(G139*F127,2)</f>
        <v>75.2</v>
      </c>
    </row>
    <row r="128" spans="1:8" x14ac:dyDescent="0.2">
      <c r="A128" s="758" t="s">
        <v>104</v>
      </c>
      <c r="B128" s="759"/>
      <c r="C128" s="759"/>
      <c r="D128" s="759"/>
      <c r="E128" s="759"/>
      <c r="F128" s="23">
        <f>SUM(F119,F120,F127)</f>
        <v>0.02</v>
      </c>
      <c r="G128" s="113">
        <f ca="1">SUM(G119:G126)</f>
        <v>75.2</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1996.15</v>
      </c>
      <c r="H130" s="4"/>
    </row>
    <row r="131" spans="1:8" x14ac:dyDescent="0.2">
      <c r="A131" s="108" t="s">
        <v>29</v>
      </c>
      <c r="B131" s="749" t="s">
        <v>107</v>
      </c>
      <c r="C131" s="750"/>
      <c r="D131" s="750"/>
      <c r="E131" s="750"/>
      <c r="F131" s="751"/>
      <c r="G131" s="109">
        <f>G68</f>
        <v>1688.47</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3684.62</v>
      </c>
      <c r="H135" s="4"/>
    </row>
    <row r="136" spans="1:8" x14ac:dyDescent="0.2">
      <c r="A136" s="108" t="s">
        <v>34</v>
      </c>
      <c r="B136" s="755" t="s">
        <v>112</v>
      </c>
      <c r="C136" s="756"/>
      <c r="D136" s="756"/>
      <c r="E136" s="756"/>
      <c r="F136" s="757"/>
      <c r="G136" s="109">
        <f ca="1">G128</f>
        <v>75.2</v>
      </c>
      <c r="H136" s="4"/>
    </row>
    <row r="137" spans="1:8" x14ac:dyDescent="0.2">
      <c r="A137" s="758" t="s">
        <v>113</v>
      </c>
      <c r="B137" s="759"/>
      <c r="C137" s="759"/>
      <c r="D137" s="759"/>
      <c r="E137" s="759"/>
      <c r="F137" s="760"/>
      <c r="G137" s="93">
        <f ca="1">SUM(G135:G136)</f>
        <v>3759.82</v>
      </c>
      <c r="H137" s="4">
        <f ca="1">SUM(G130:G136)-G135</f>
        <v>3759.82</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3759.82</v>
      </c>
      <c r="H139" s="4"/>
    </row>
    <row r="140" spans="1:8" x14ac:dyDescent="0.2">
      <c r="A140" s="118"/>
      <c r="B140" s="607" t="s">
        <v>115</v>
      </c>
      <c r="C140" s="607"/>
      <c r="D140" s="607"/>
      <c r="E140" s="607"/>
      <c r="F140" s="608">
        <f>F21</f>
        <v>1</v>
      </c>
      <c r="G140" s="609">
        <f ca="1">G139*F140</f>
        <v>3759.82</v>
      </c>
      <c r="H140" s="4"/>
    </row>
    <row r="141" spans="1:8" x14ac:dyDescent="0.2">
      <c r="F141" s="357"/>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48"/>
  <sheetViews>
    <sheetView view="pageBreakPreview" topLeftCell="A10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967" t="s">
        <v>444</v>
      </c>
      <c r="B2" s="968"/>
      <c r="C2" s="968"/>
      <c r="D2" s="271"/>
      <c r="E2" s="271"/>
      <c r="F2" s="969" t="s">
        <v>449</v>
      </c>
      <c r="G2" s="970"/>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971" t="s">
        <v>5</v>
      </c>
      <c r="B5" s="972"/>
      <c r="C5" s="972"/>
      <c r="D5" s="972"/>
      <c r="E5" s="972"/>
      <c r="F5" s="973"/>
      <c r="G5" s="974"/>
    </row>
    <row r="6" spans="1:8" ht="12.75" customHeight="1" x14ac:dyDescent="0.2">
      <c r="A6" s="947" t="s">
        <v>16</v>
      </c>
      <c r="B6" s="948"/>
      <c r="C6" s="948"/>
      <c r="D6" s="948"/>
      <c r="E6" s="949"/>
      <c r="F6" s="959"/>
      <c r="G6" s="960"/>
    </row>
    <row r="7" spans="1:8" ht="14.1" customHeight="1" x14ac:dyDescent="0.2">
      <c r="A7" s="947" t="s">
        <v>11</v>
      </c>
      <c r="B7" s="948"/>
      <c r="C7" s="948"/>
      <c r="D7" s="948"/>
      <c r="E7" s="949"/>
      <c r="F7" s="977" t="s">
        <v>428</v>
      </c>
      <c r="G7" s="960"/>
    </row>
    <row r="8" spans="1:8" ht="19.5" customHeight="1" x14ac:dyDescent="0.2">
      <c r="A8" s="978" t="s">
        <v>396</v>
      </c>
      <c r="B8" s="979"/>
      <c r="C8" s="979"/>
      <c r="D8" s="979"/>
      <c r="E8" s="979"/>
      <c r="F8" s="979"/>
      <c r="G8" s="980"/>
    </row>
    <row r="9" spans="1:8" ht="19.5" customHeight="1" x14ac:dyDescent="0.2">
      <c r="A9" s="981"/>
      <c r="B9" s="982"/>
      <c r="C9" s="982"/>
      <c r="D9" s="982"/>
      <c r="E9" s="982"/>
      <c r="F9" s="982"/>
      <c r="G9" s="983"/>
    </row>
    <row r="10" spans="1:8" ht="14.1" customHeight="1" x14ac:dyDescent="0.2">
      <c r="A10" s="950" t="s">
        <v>17</v>
      </c>
      <c r="B10" s="951"/>
      <c r="C10" s="951"/>
      <c r="D10" s="951"/>
      <c r="E10" s="952"/>
      <c r="F10" s="975" t="s">
        <v>406</v>
      </c>
      <c r="G10" s="976"/>
    </row>
    <row r="11" spans="1:8" ht="14.1" customHeight="1" x14ac:dyDescent="0.2">
      <c r="A11" s="950" t="s">
        <v>18</v>
      </c>
      <c r="B11" s="951"/>
      <c r="C11" s="951"/>
      <c r="D11" s="951"/>
      <c r="E11" s="952"/>
      <c r="F11" s="975" t="s">
        <v>397</v>
      </c>
      <c r="G11" s="976"/>
    </row>
    <row r="12" spans="1:8" ht="14.1" customHeight="1" x14ac:dyDescent="0.2">
      <c r="A12" s="950" t="s">
        <v>19</v>
      </c>
      <c r="B12" s="951"/>
      <c r="C12" s="951"/>
      <c r="D12" s="951"/>
      <c r="E12" s="952"/>
      <c r="F12" s="975" t="s">
        <v>20</v>
      </c>
      <c r="G12" s="976"/>
    </row>
    <row r="13" spans="1:8" ht="14.1" customHeight="1" x14ac:dyDescent="0.2">
      <c r="A13" s="950" t="s">
        <v>10</v>
      </c>
      <c r="B13" s="951"/>
      <c r="C13" s="951"/>
      <c r="D13" s="951"/>
      <c r="E13" s="952"/>
      <c r="F13" s="975" t="s">
        <v>9</v>
      </c>
      <c r="G13" s="976"/>
    </row>
    <row r="14" spans="1:8" ht="14.1" customHeight="1" x14ac:dyDescent="0.2">
      <c r="A14" s="890" t="s">
        <v>6</v>
      </c>
      <c r="B14" s="891"/>
      <c r="C14" s="891"/>
      <c r="D14" s="891"/>
      <c r="E14" s="891"/>
      <c r="F14" s="892"/>
      <c r="G14" s="893"/>
    </row>
    <row r="15" spans="1:8" ht="14.1" customHeight="1" x14ac:dyDescent="0.2">
      <c r="A15" s="950" t="s">
        <v>7</v>
      </c>
      <c r="B15" s="951"/>
      <c r="C15" s="951"/>
      <c r="D15" s="951"/>
      <c r="E15" s="952"/>
      <c r="F15" s="954">
        <v>1518</v>
      </c>
      <c r="G15" s="955"/>
    </row>
    <row r="16" spans="1:8" ht="13.5" customHeight="1" x14ac:dyDescent="0.2">
      <c r="A16" s="950" t="s">
        <v>0</v>
      </c>
      <c r="B16" s="951"/>
      <c r="C16" s="951"/>
      <c r="D16" s="951"/>
      <c r="E16" s="952"/>
      <c r="F16" s="961" t="s">
        <v>427</v>
      </c>
      <c r="G16" s="962"/>
      <c r="H16" s="3"/>
    </row>
    <row r="17" spans="1:8" ht="14.1" customHeight="1" x14ac:dyDescent="0.2">
      <c r="A17" s="950" t="s">
        <v>21</v>
      </c>
      <c r="B17" s="951"/>
      <c r="C17" s="951"/>
      <c r="D17" s="951"/>
      <c r="E17" s="952"/>
      <c r="F17" s="963" t="s">
        <v>426</v>
      </c>
      <c r="G17" s="964"/>
      <c r="H17" s="3"/>
    </row>
    <row r="18" spans="1:8" ht="14.1" customHeight="1" x14ac:dyDescent="0.2">
      <c r="A18" s="950" t="s">
        <v>1</v>
      </c>
      <c r="B18" s="951"/>
      <c r="C18" s="951"/>
      <c r="D18" s="951"/>
      <c r="E18" s="952"/>
      <c r="F18" s="965">
        <v>2083.35</v>
      </c>
      <c r="G18" s="966"/>
    </row>
    <row r="19" spans="1:8" ht="14.1" customHeight="1" x14ac:dyDescent="0.2">
      <c r="A19" s="947" t="s">
        <v>8</v>
      </c>
      <c r="B19" s="948"/>
      <c r="C19" s="948"/>
      <c r="D19" s="948"/>
      <c r="E19" s="949"/>
      <c r="F19" s="839">
        <v>45536</v>
      </c>
      <c r="G19" s="840"/>
    </row>
    <row r="20" spans="1:8" ht="14.1" customHeight="1" x14ac:dyDescent="0.2">
      <c r="A20" s="950" t="s">
        <v>22</v>
      </c>
      <c r="B20" s="951"/>
      <c r="C20" s="951"/>
      <c r="D20" s="951"/>
      <c r="E20" s="952"/>
      <c r="F20" s="830" t="s">
        <v>140</v>
      </c>
      <c r="G20" s="831"/>
    </row>
    <row r="21" spans="1:8" ht="14.1" customHeight="1" x14ac:dyDescent="0.2">
      <c r="A21" s="947" t="s">
        <v>23</v>
      </c>
      <c r="B21" s="948"/>
      <c r="C21" s="948"/>
      <c r="D21" s="948"/>
      <c r="E21" s="949"/>
      <c r="F21" s="835">
        <v>1</v>
      </c>
      <c r="G21" s="836"/>
    </row>
    <row r="22" spans="1:8" ht="14.1" customHeight="1" x14ac:dyDescent="0.2">
      <c r="A22" s="947" t="s">
        <v>24</v>
      </c>
      <c r="B22" s="948"/>
      <c r="C22" s="948"/>
      <c r="D22" s="948"/>
      <c r="E22" s="949"/>
      <c r="F22" s="835">
        <v>1</v>
      </c>
      <c r="G22" s="836"/>
    </row>
    <row r="23" spans="1:8" ht="12.75" customHeight="1" x14ac:dyDescent="0.2">
      <c r="A23" s="947" t="s">
        <v>25</v>
      </c>
      <c r="B23" s="948"/>
      <c r="C23" s="948"/>
      <c r="D23" s="948"/>
      <c r="E23" s="949"/>
      <c r="F23" s="956" t="s">
        <v>214</v>
      </c>
      <c r="G23" s="957"/>
    </row>
    <row r="24" spans="1:8" ht="27" customHeight="1" x14ac:dyDescent="0.2">
      <c r="A24" s="958" t="s">
        <v>418</v>
      </c>
      <c r="B24" s="959"/>
      <c r="C24" s="959"/>
      <c r="D24" s="959"/>
      <c r="E24" s="959"/>
      <c r="F24" s="959"/>
      <c r="G24" s="960"/>
    </row>
    <row r="25" spans="1:8" x14ac:dyDescent="0.2">
      <c r="A25" s="890" t="s">
        <v>2</v>
      </c>
      <c r="B25" s="891"/>
      <c r="C25" s="891"/>
      <c r="D25" s="891"/>
      <c r="E25" s="891"/>
      <c r="F25" s="892"/>
      <c r="G25" s="893"/>
    </row>
    <row r="26" spans="1:8" x14ac:dyDescent="0.2">
      <c r="A26" s="272">
        <v>1</v>
      </c>
      <c r="B26" s="944" t="s">
        <v>26</v>
      </c>
      <c r="C26" s="944"/>
      <c r="D26" s="944"/>
      <c r="E26" s="944"/>
      <c r="F26" s="359" t="s">
        <v>27</v>
      </c>
      <c r="G26" s="274" t="s">
        <v>3</v>
      </c>
    </row>
    <row r="27" spans="1:8" x14ac:dyDescent="0.2">
      <c r="A27" s="275" t="s">
        <v>28</v>
      </c>
      <c r="B27" s="945" t="s">
        <v>400</v>
      </c>
      <c r="C27" s="945"/>
      <c r="D27" s="945"/>
      <c r="E27" s="945"/>
      <c r="F27" s="276">
        <v>1</v>
      </c>
      <c r="G27" s="277">
        <f>F18*F27</f>
        <v>2083.35</v>
      </c>
      <c r="H27" s="278"/>
    </row>
    <row r="28" spans="1:8" x14ac:dyDescent="0.2">
      <c r="A28" s="275" t="s">
        <v>29</v>
      </c>
      <c r="B28" s="946" t="s">
        <v>117</v>
      </c>
      <c r="C28" s="946"/>
      <c r="D28" s="946"/>
      <c r="E28" s="946"/>
      <c r="F28" s="279">
        <v>0</v>
      </c>
      <c r="G28" s="277">
        <f>ROUND(G27*F28,2)</f>
        <v>0</v>
      </c>
      <c r="H28" s="278"/>
    </row>
    <row r="29" spans="1:8" x14ac:dyDescent="0.2">
      <c r="A29" s="275" t="s">
        <v>30</v>
      </c>
      <c r="B29" s="946" t="s">
        <v>15</v>
      </c>
      <c r="C29" s="946"/>
      <c r="D29" s="946"/>
      <c r="E29" s="946"/>
      <c r="F29" s="279">
        <v>0.4</v>
      </c>
      <c r="G29" s="277">
        <f>ROUND(F15*F29,2)</f>
        <v>607.20000000000005</v>
      </c>
      <c r="H29" s="278"/>
    </row>
    <row r="30" spans="1:8" x14ac:dyDescent="0.2">
      <c r="A30" s="89" t="s">
        <v>31</v>
      </c>
      <c r="B30" s="820" t="s">
        <v>154</v>
      </c>
      <c r="C30" s="820"/>
      <c r="D30" s="820"/>
      <c r="E30" s="820"/>
      <c r="F30" s="276">
        <f>ROUND((ROUND((0*15.22),2)/52.5)*60,2)</f>
        <v>0</v>
      </c>
      <c r="G30" s="277">
        <f>ROUND(ROUND(ROUND((SUM(G27:G29)+G33)/220,2)*0.2,2)*F30,2)</f>
        <v>0</v>
      </c>
      <c r="H30" s="278"/>
    </row>
    <row r="31" spans="1:8" x14ac:dyDescent="0.2">
      <c r="A31" s="89" t="s">
        <v>32</v>
      </c>
      <c r="B31" s="820" t="s">
        <v>33</v>
      </c>
      <c r="C31" s="820"/>
      <c r="D31" s="820"/>
      <c r="E31" s="820"/>
      <c r="F31" s="276">
        <v>0</v>
      </c>
      <c r="G31" s="277"/>
      <c r="H31" s="278"/>
    </row>
    <row r="32" spans="1:8" x14ac:dyDescent="0.2">
      <c r="A32" s="89" t="s">
        <v>34</v>
      </c>
      <c r="B32" s="820" t="s">
        <v>155</v>
      </c>
      <c r="C32" s="820"/>
      <c r="D32" s="820"/>
      <c r="E32" s="820"/>
      <c r="F32" s="276">
        <f>ROUND(SUM(F30)/15.22*5,2)</f>
        <v>0</v>
      </c>
      <c r="G32" s="277">
        <f>ROUND(ROUND(ROUND((SUM(G27:G29)+G33)/220,2)*0.2,2)*F32,2)</f>
        <v>0</v>
      </c>
      <c r="H32" s="278"/>
    </row>
    <row r="33" spans="1:8" x14ac:dyDescent="0.2">
      <c r="A33" s="89" t="s">
        <v>48</v>
      </c>
      <c r="B33" s="820" t="s">
        <v>156</v>
      </c>
      <c r="C33" s="820"/>
      <c r="D33" s="820"/>
      <c r="E33" s="820"/>
      <c r="F33" s="279">
        <v>0</v>
      </c>
      <c r="G33" s="277">
        <f>ROUND(F18*F33,2)</f>
        <v>0</v>
      </c>
      <c r="H33" s="278"/>
    </row>
    <row r="34" spans="1:8" x14ac:dyDescent="0.2">
      <c r="A34" s="912" t="s">
        <v>35</v>
      </c>
      <c r="B34" s="884"/>
      <c r="C34" s="884"/>
      <c r="D34" s="884"/>
      <c r="E34" s="884"/>
      <c r="F34" s="953"/>
      <c r="G34" s="280">
        <f>SUM(G27:G33)</f>
        <v>2690.55</v>
      </c>
    </row>
    <row r="35" spans="1:8" x14ac:dyDescent="0.2">
      <c r="A35" s="890" t="s">
        <v>36</v>
      </c>
      <c r="B35" s="891"/>
      <c r="C35" s="891"/>
      <c r="D35" s="891"/>
      <c r="E35" s="891"/>
      <c r="F35" s="892"/>
      <c r="G35" s="893"/>
    </row>
    <row r="36" spans="1:8" x14ac:dyDescent="0.2">
      <c r="A36" s="906" t="s">
        <v>37</v>
      </c>
      <c r="B36" s="907"/>
      <c r="C36" s="907"/>
      <c r="D36" s="907"/>
      <c r="E36" s="907"/>
      <c r="F36" s="907"/>
      <c r="G36" s="908"/>
      <c r="H36" s="4"/>
    </row>
    <row r="37" spans="1:8" s="7" customFormat="1" x14ac:dyDescent="0.2">
      <c r="A37" s="156" t="s">
        <v>28</v>
      </c>
      <c r="B37" s="909" t="s">
        <v>38</v>
      </c>
      <c r="C37" s="910"/>
      <c r="D37" s="910"/>
      <c r="E37" s="943"/>
      <c r="F37" s="281">
        <v>8.3299999999999999E-2</v>
      </c>
      <c r="G37" s="95">
        <f>ROUND(G$34*F37,2)</f>
        <v>224.12</v>
      </c>
      <c r="H37" s="357"/>
    </row>
    <row r="38" spans="1:8" x14ac:dyDescent="0.2">
      <c r="A38" s="96" t="s">
        <v>29</v>
      </c>
      <c r="B38" s="928" t="s">
        <v>401</v>
      </c>
      <c r="C38" s="929"/>
      <c r="D38" s="929"/>
      <c r="E38" s="941"/>
      <c r="F38" s="282">
        <f>ROUND((1/11)+(1/11)/3, 3)</f>
        <v>0.121</v>
      </c>
      <c r="G38" s="283">
        <f>ROUND(G$34*F38,2)</f>
        <v>325.56</v>
      </c>
      <c r="H38" s="4"/>
    </row>
    <row r="39" spans="1:8" x14ac:dyDescent="0.2">
      <c r="A39" s="284"/>
      <c r="B39" s="942" t="s">
        <v>39</v>
      </c>
      <c r="C39" s="942"/>
      <c r="D39" s="942"/>
      <c r="E39" s="942"/>
      <c r="F39" s="285">
        <f>SUM(F37:F38)</f>
        <v>0.20430000000000001</v>
      </c>
      <c r="G39" s="95"/>
      <c r="H39" s="4"/>
    </row>
    <row r="40" spans="1:8" x14ac:dyDescent="0.2">
      <c r="A40" s="286" t="s">
        <v>30</v>
      </c>
      <c r="B40" s="287" t="s">
        <v>40</v>
      </c>
      <c r="C40" s="288"/>
      <c r="D40" s="288"/>
      <c r="E40" s="288"/>
      <c r="F40" s="289">
        <f>ROUND((F51*F39),4)</f>
        <v>6.9099999999999995E-2</v>
      </c>
      <c r="G40" s="290">
        <f>ROUND(G$34*F40,2)</f>
        <v>185.92</v>
      </c>
      <c r="H40" s="4"/>
    </row>
    <row r="41" spans="1:8" x14ac:dyDescent="0.2">
      <c r="A41" s="897" t="s">
        <v>41</v>
      </c>
      <c r="B41" s="898"/>
      <c r="C41" s="898"/>
      <c r="D41" s="898"/>
      <c r="E41" s="899"/>
      <c r="F41" s="291">
        <f>ROUND(SUM(F39:F40),4)</f>
        <v>0.27339999999999998</v>
      </c>
      <c r="G41" s="292">
        <f>SUM(G37:G40)</f>
        <v>735.6</v>
      </c>
      <c r="H41" s="4">
        <f>ROUND(G34*F41,2)</f>
        <v>735.6</v>
      </c>
    </row>
    <row r="42" spans="1:8" x14ac:dyDescent="0.2">
      <c r="A42" s="906" t="s">
        <v>118</v>
      </c>
      <c r="B42" s="907"/>
      <c r="C42" s="907"/>
      <c r="D42" s="907"/>
      <c r="E42" s="907"/>
      <c r="F42" s="907"/>
      <c r="G42" s="908"/>
      <c r="H42" s="4"/>
    </row>
    <row r="43" spans="1:8" x14ac:dyDescent="0.2">
      <c r="A43" s="293" t="s">
        <v>28</v>
      </c>
      <c r="B43" s="909" t="s">
        <v>42</v>
      </c>
      <c r="C43" s="910"/>
      <c r="D43" s="910"/>
      <c r="E43" s="943"/>
      <c r="F43" s="294">
        <v>0.2</v>
      </c>
      <c r="G43" s="295">
        <f t="shared" ref="G43:G50" si="0">ROUND(G$34*F43,2)</f>
        <v>538.11</v>
      </c>
      <c r="H43" s="4"/>
    </row>
    <row r="44" spans="1:8" x14ac:dyDescent="0.2">
      <c r="A44" s="156" t="s">
        <v>29</v>
      </c>
      <c r="B44" s="802" t="s">
        <v>43</v>
      </c>
      <c r="C44" s="803"/>
      <c r="D44" s="803"/>
      <c r="E44" s="816"/>
      <c r="F44" s="281">
        <v>2.5000000000000001E-2</v>
      </c>
      <c r="G44" s="95">
        <f t="shared" si="0"/>
        <v>67.260000000000005</v>
      </c>
      <c r="H44" s="4"/>
    </row>
    <row r="45" spans="1:8" x14ac:dyDescent="0.2">
      <c r="A45" s="156" t="s">
        <v>30</v>
      </c>
      <c r="B45" s="802" t="s">
        <v>44</v>
      </c>
      <c r="C45" s="803"/>
      <c r="D45" s="803"/>
      <c r="E45" s="816"/>
      <c r="F45" s="588">
        <v>0</v>
      </c>
      <c r="G45" s="95">
        <f t="shared" si="0"/>
        <v>0</v>
      </c>
      <c r="H45" s="4"/>
    </row>
    <row r="46" spans="1:8" x14ac:dyDescent="0.2">
      <c r="A46" s="156" t="s">
        <v>31</v>
      </c>
      <c r="B46" s="802" t="s">
        <v>45</v>
      </c>
      <c r="C46" s="803"/>
      <c r="D46" s="803"/>
      <c r="E46" s="816"/>
      <c r="F46" s="281">
        <v>1.4999999999999999E-2</v>
      </c>
      <c r="G46" s="95">
        <f t="shared" si="0"/>
        <v>40.36</v>
      </c>
      <c r="H46" s="4"/>
    </row>
    <row r="47" spans="1:8" x14ac:dyDescent="0.2">
      <c r="A47" s="156" t="s">
        <v>32</v>
      </c>
      <c r="B47" s="802" t="s">
        <v>46</v>
      </c>
      <c r="C47" s="803"/>
      <c r="D47" s="803"/>
      <c r="E47" s="816"/>
      <c r="F47" s="281">
        <v>0.01</v>
      </c>
      <c r="G47" s="95">
        <f t="shared" si="0"/>
        <v>26.91</v>
      </c>
      <c r="H47" s="4"/>
    </row>
    <row r="48" spans="1:8" x14ac:dyDescent="0.2">
      <c r="A48" s="156" t="s">
        <v>34</v>
      </c>
      <c r="B48" s="802" t="s">
        <v>47</v>
      </c>
      <c r="C48" s="803"/>
      <c r="D48" s="803"/>
      <c r="E48" s="816"/>
      <c r="F48" s="281">
        <v>6.0000000000000001E-3</v>
      </c>
      <c r="G48" s="95">
        <f t="shared" si="0"/>
        <v>16.14</v>
      </c>
      <c r="H48" s="4"/>
    </row>
    <row r="49" spans="1:8" x14ac:dyDescent="0.2">
      <c r="A49" s="156" t="s">
        <v>48</v>
      </c>
      <c r="B49" s="802" t="s">
        <v>49</v>
      </c>
      <c r="C49" s="803"/>
      <c r="D49" s="803"/>
      <c r="E49" s="816"/>
      <c r="F49" s="281">
        <v>2E-3</v>
      </c>
      <c r="G49" s="95">
        <f t="shared" si="0"/>
        <v>5.38</v>
      </c>
      <c r="H49" s="4"/>
    </row>
    <row r="50" spans="1:8" x14ac:dyDescent="0.2">
      <c r="A50" s="96" t="s">
        <v>50</v>
      </c>
      <c r="B50" s="928" t="s">
        <v>51</v>
      </c>
      <c r="C50" s="929"/>
      <c r="D50" s="929"/>
      <c r="E50" s="941"/>
      <c r="F50" s="282">
        <v>0.08</v>
      </c>
      <c r="G50" s="283">
        <f t="shared" si="0"/>
        <v>215.24</v>
      </c>
      <c r="H50" s="4"/>
    </row>
    <row r="51" spans="1:8" x14ac:dyDescent="0.2">
      <c r="A51" s="897" t="s">
        <v>52</v>
      </c>
      <c r="B51" s="898"/>
      <c r="C51" s="898"/>
      <c r="D51" s="898"/>
      <c r="E51" s="899"/>
      <c r="F51" s="291">
        <f>SUM(F43:F50)</f>
        <v>0.33800000000000002</v>
      </c>
      <c r="G51" s="292">
        <f>SUM(G43:G50)</f>
        <v>909.4</v>
      </c>
      <c r="H51" s="4">
        <f>ROUND(G34*F51,2)</f>
        <v>909.41</v>
      </c>
    </row>
    <row r="52" spans="1:8" x14ac:dyDescent="0.2">
      <c r="A52" s="906" t="s">
        <v>53</v>
      </c>
      <c r="B52" s="907"/>
      <c r="C52" s="907"/>
      <c r="D52" s="907"/>
      <c r="E52" s="907"/>
      <c r="F52" s="907"/>
      <c r="G52" s="908"/>
      <c r="H52" s="4"/>
    </row>
    <row r="53" spans="1:8" x14ac:dyDescent="0.2">
      <c r="A53" s="296" t="s">
        <v>28</v>
      </c>
      <c r="B53" s="939" t="s">
        <v>54</v>
      </c>
      <c r="C53" s="940"/>
      <c r="D53" s="940"/>
      <c r="E53" s="604">
        <v>0</v>
      </c>
      <c r="F53" s="297">
        <v>42</v>
      </c>
      <c r="G53" s="298">
        <f>IF(ROUND((E53*F53)-(G27*0.06),2)&lt;0,0,ROUND((E53*F53)-(G27*0.06),2))</f>
        <v>0</v>
      </c>
      <c r="H53" s="4"/>
    </row>
    <row r="54" spans="1:8" x14ac:dyDescent="0.2">
      <c r="A54" s="299" t="s">
        <v>29</v>
      </c>
      <c r="B54" s="808" t="s">
        <v>56</v>
      </c>
      <c r="C54" s="809"/>
      <c r="D54" s="809"/>
      <c r="E54" s="300">
        <v>28.86</v>
      </c>
      <c r="F54" s="301">
        <v>21</v>
      </c>
      <c r="G54" s="277">
        <f t="shared" ref="G54:G62" si="1">ROUND((E54*F54),2)</f>
        <v>606.05999999999995</v>
      </c>
      <c r="H54" s="4"/>
    </row>
    <row r="55" spans="1:8" x14ac:dyDescent="0.2">
      <c r="A55" s="299" t="s">
        <v>30</v>
      </c>
      <c r="B55" s="808" t="s">
        <v>58</v>
      </c>
      <c r="C55" s="809"/>
      <c r="D55" s="809"/>
      <c r="E55" s="300">
        <v>394.42</v>
      </c>
      <c r="F55" s="301">
        <v>1</v>
      </c>
      <c r="G55" s="277">
        <f t="shared" si="1"/>
        <v>394.42</v>
      </c>
      <c r="H55" s="4"/>
    </row>
    <row r="56" spans="1:8" x14ac:dyDescent="0.2">
      <c r="A56" s="299" t="s">
        <v>31</v>
      </c>
      <c r="B56" s="808" t="s">
        <v>402</v>
      </c>
      <c r="C56" s="809"/>
      <c r="D56" s="809"/>
      <c r="E56" s="300">
        <v>28</v>
      </c>
      <c r="F56" s="301">
        <v>1</v>
      </c>
      <c r="G56" s="277">
        <f t="shared" si="1"/>
        <v>28</v>
      </c>
      <c r="H56" s="4"/>
    </row>
    <row r="57" spans="1:8" x14ac:dyDescent="0.2">
      <c r="A57" s="299" t="s">
        <v>32</v>
      </c>
      <c r="B57" s="808" t="s">
        <v>179</v>
      </c>
      <c r="C57" s="809"/>
      <c r="D57" s="809"/>
      <c r="E57" s="605">
        <f>ROUND((F18*30%)*5%,2)*0</f>
        <v>0</v>
      </c>
      <c r="F57" s="301">
        <v>1</v>
      </c>
      <c r="G57" s="277">
        <f t="shared" si="1"/>
        <v>0</v>
      </c>
      <c r="H57" s="4"/>
    </row>
    <row r="58" spans="1:8" x14ac:dyDescent="0.2">
      <c r="A58" s="299" t="s">
        <v>34</v>
      </c>
      <c r="B58" s="808" t="s">
        <v>407</v>
      </c>
      <c r="C58" s="809"/>
      <c r="D58" s="809"/>
      <c r="E58" s="300">
        <v>3.8</v>
      </c>
      <c r="F58" s="301">
        <v>1</v>
      </c>
      <c r="G58" s="277">
        <f t="shared" si="1"/>
        <v>3.8</v>
      </c>
      <c r="H58" s="4"/>
    </row>
    <row r="59" spans="1:8" x14ac:dyDescent="0.2">
      <c r="A59" s="299" t="s">
        <v>48</v>
      </c>
      <c r="B59" s="808" t="s">
        <v>403</v>
      </c>
      <c r="C59" s="809"/>
      <c r="D59" s="809"/>
      <c r="E59" s="342">
        <f>ROUND((((F18/220)*8)*1.5)/12,2)</f>
        <v>9.4700000000000006</v>
      </c>
      <c r="F59" s="301">
        <v>1</v>
      </c>
      <c r="G59" s="277">
        <f t="shared" si="1"/>
        <v>9.4700000000000006</v>
      </c>
      <c r="H59" s="4"/>
    </row>
    <row r="60" spans="1:8" x14ac:dyDescent="0.2">
      <c r="A60" s="377" t="s">
        <v>50</v>
      </c>
      <c r="B60" s="935" t="s">
        <v>152</v>
      </c>
      <c r="C60" s="813"/>
      <c r="D60" s="813"/>
      <c r="E60" s="342">
        <v>0</v>
      </c>
      <c r="F60" s="301">
        <v>1</v>
      </c>
      <c r="G60" s="277">
        <f t="shared" si="1"/>
        <v>0</v>
      </c>
      <c r="H60" s="4"/>
    </row>
    <row r="61" spans="1:8" x14ac:dyDescent="0.2">
      <c r="A61" s="299" t="s">
        <v>151</v>
      </c>
      <c r="B61" s="935" t="s">
        <v>152</v>
      </c>
      <c r="C61" s="813"/>
      <c r="D61" s="813"/>
      <c r="E61" s="343">
        <v>0</v>
      </c>
      <c r="F61" s="301">
        <v>1</v>
      </c>
      <c r="G61" s="277">
        <f t="shared" si="1"/>
        <v>0</v>
      </c>
      <c r="H61" s="4"/>
    </row>
    <row r="62" spans="1:8" x14ac:dyDescent="0.2">
      <c r="A62" s="299" t="s">
        <v>431</v>
      </c>
      <c r="B62" s="936" t="s">
        <v>152</v>
      </c>
      <c r="C62" s="937"/>
      <c r="D62" s="937"/>
      <c r="E62" s="302">
        <v>0</v>
      </c>
      <c r="F62" s="301">
        <v>1</v>
      </c>
      <c r="G62" s="277">
        <f t="shared" si="1"/>
        <v>0</v>
      </c>
      <c r="H62" s="4"/>
    </row>
    <row r="63" spans="1:8" x14ac:dyDescent="0.2">
      <c r="A63" s="938" t="s">
        <v>60</v>
      </c>
      <c r="B63" s="883"/>
      <c r="C63" s="883"/>
      <c r="D63" s="883"/>
      <c r="E63" s="883"/>
      <c r="F63" s="884"/>
      <c r="G63" s="280">
        <f>SUM(G53:G62)+52.42</f>
        <v>1094.17</v>
      </c>
      <c r="H63" s="4"/>
    </row>
    <row r="64" spans="1:8" x14ac:dyDescent="0.2">
      <c r="A64" s="890" t="s">
        <v>61</v>
      </c>
      <c r="B64" s="891"/>
      <c r="C64" s="891"/>
      <c r="D64" s="891"/>
      <c r="E64" s="891"/>
      <c r="F64" s="892"/>
      <c r="G64" s="893"/>
      <c r="H64" s="4"/>
    </row>
    <row r="65" spans="1:8" x14ac:dyDescent="0.2">
      <c r="A65" s="303" t="s">
        <v>62</v>
      </c>
      <c r="B65" s="894" t="s">
        <v>63</v>
      </c>
      <c r="C65" s="895"/>
      <c r="D65" s="895"/>
      <c r="E65" s="895"/>
      <c r="F65" s="304">
        <f>F41</f>
        <v>0.27339999999999998</v>
      </c>
      <c r="G65" s="305">
        <f>G41</f>
        <v>735.6</v>
      </c>
      <c r="H65" s="4"/>
    </row>
    <row r="66" spans="1:8" x14ac:dyDescent="0.2">
      <c r="A66" s="306" t="s">
        <v>64</v>
      </c>
      <c r="B66" s="877" t="s">
        <v>128</v>
      </c>
      <c r="C66" s="750"/>
      <c r="D66" s="750"/>
      <c r="E66" s="750"/>
      <c r="F66" s="18">
        <f>F51</f>
        <v>0.33800000000000002</v>
      </c>
      <c r="G66" s="307">
        <f>G51</f>
        <v>909.4</v>
      </c>
      <c r="H66" s="4"/>
    </row>
    <row r="67" spans="1:8" x14ac:dyDescent="0.2">
      <c r="A67" s="306" t="s">
        <v>65</v>
      </c>
      <c r="B67" s="877" t="s">
        <v>66</v>
      </c>
      <c r="C67" s="750"/>
      <c r="D67" s="750"/>
      <c r="E67" s="750"/>
      <c r="F67" s="751"/>
      <c r="G67" s="307">
        <f>G63</f>
        <v>1094.17</v>
      </c>
      <c r="H67" s="4"/>
    </row>
    <row r="68" spans="1:8" x14ac:dyDescent="0.2">
      <c r="A68" s="882" t="s">
        <v>67</v>
      </c>
      <c r="B68" s="883"/>
      <c r="C68" s="883"/>
      <c r="D68" s="883"/>
      <c r="E68" s="883"/>
      <c r="F68" s="884"/>
      <c r="G68" s="280">
        <f>SUM(G65:G67)</f>
        <v>2739.17</v>
      </c>
      <c r="H68" s="4"/>
    </row>
    <row r="69" spans="1:8" x14ac:dyDescent="0.2">
      <c r="A69" s="890" t="s">
        <v>68</v>
      </c>
      <c r="B69" s="891"/>
      <c r="C69" s="891"/>
      <c r="D69" s="891"/>
      <c r="E69" s="891"/>
      <c r="F69" s="892"/>
      <c r="G69" s="893"/>
      <c r="H69" s="4"/>
    </row>
    <row r="70" spans="1:8" s="21" customFormat="1" x14ac:dyDescent="0.2">
      <c r="A70" s="272">
        <v>3</v>
      </c>
      <c r="B70" s="308" t="s">
        <v>69</v>
      </c>
      <c r="C70" s="308"/>
      <c r="D70" s="308"/>
      <c r="E70" s="308"/>
      <c r="F70" s="308"/>
      <c r="G70" s="309"/>
      <c r="H70" s="4"/>
    </row>
    <row r="71" spans="1:8" x14ac:dyDescent="0.2">
      <c r="A71" s="310" t="s">
        <v>28</v>
      </c>
      <c r="B71" s="788" t="s">
        <v>70</v>
      </c>
      <c r="C71" s="789"/>
      <c r="D71" s="789"/>
      <c r="E71" s="789"/>
      <c r="F71" s="590">
        <f>ROUND((1/12)*0.05,4)*0</f>
        <v>0</v>
      </c>
      <c r="G71" s="311">
        <f t="shared" ref="G71:G76" si="2">ROUND(G$34*F71,2)</f>
        <v>0</v>
      </c>
      <c r="H71" s="4"/>
    </row>
    <row r="72" spans="1:8" x14ac:dyDescent="0.2">
      <c r="A72" s="312" t="s">
        <v>29</v>
      </c>
      <c r="B72" s="741" t="s">
        <v>71</v>
      </c>
      <c r="C72" s="742"/>
      <c r="D72" s="742"/>
      <c r="E72" s="742"/>
      <c r="F72" s="316">
        <f>ROUND((F71*F50),4)</f>
        <v>0</v>
      </c>
      <c r="G72" s="313">
        <f t="shared" si="2"/>
        <v>0</v>
      </c>
      <c r="H72" s="4"/>
    </row>
    <row r="73" spans="1:8" x14ac:dyDescent="0.2">
      <c r="A73" s="312" t="s">
        <v>30</v>
      </c>
      <c r="B73" s="741" t="s">
        <v>404</v>
      </c>
      <c r="C73" s="742"/>
      <c r="D73" s="742"/>
      <c r="E73" s="742"/>
      <c r="F73" s="592">
        <f>ROUND((0.08*0.4*0.9)*(1+0.09+0.09+0.3),2)*0</f>
        <v>0</v>
      </c>
      <c r="G73" s="313">
        <f t="shared" si="2"/>
        <v>0</v>
      </c>
      <c r="H73" s="4"/>
    </row>
    <row r="74" spans="1:8" x14ac:dyDescent="0.2">
      <c r="A74" s="312" t="s">
        <v>31</v>
      </c>
      <c r="B74" s="741" t="s">
        <v>72</v>
      </c>
      <c r="C74" s="742"/>
      <c r="D74" s="742"/>
      <c r="E74" s="742"/>
      <c r="F74" s="592">
        <f>ROUND(100%/30*7/12*100%,4)*0</f>
        <v>0</v>
      </c>
      <c r="G74" s="313">
        <f t="shared" si="2"/>
        <v>0</v>
      </c>
      <c r="H74" s="4"/>
    </row>
    <row r="75" spans="1:8" s="3" customFormat="1" x14ac:dyDescent="0.2">
      <c r="A75" s="312" t="s">
        <v>32</v>
      </c>
      <c r="B75" s="741" t="s">
        <v>119</v>
      </c>
      <c r="C75" s="742"/>
      <c r="D75" s="742"/>
      <c r="E75" s="742"/>
      <c r="F75" s="316">
        <f>ROUND(F74*F51,4)</f>
        <v>0</v>
      </c>
      <c r="G75" s="313">
        <f t="shared" si="2"/>
        <v>0</v>
      </c>
      <c r="H75" s="4"/>
    </row>
    <row r="76" spans="1:8" x14ac:dyDescent="0.2">
      <c r="A76" s="312" t="s">
        <v>34</v>
      </c>
      <c r="B76" s="791" t="s">
        <v>135</v>
      </c>
      <c r="C76" s="792"/>
      <c r="D76" s="792"/>
      <c r="E76" s="792"/>
      <c r="F76" s="344">
        <v>0</v>
      </c>
      <c r="G76" s="314">
        <f t="shared" si="2"/>
        <v>0</v>
      </c>
      <c r="H76" s="4"/>
    </row>
    <row r="77" spans="1:8" x14ac:dyDescent="0.2">
      <c r="A77" s="882" t="s">
        <v>73</v>
      </c>
      <c r="B77" s="883"/>
      <c r="C77" s="883"/>
      <c r="D77" s="883"/>
      <c r="E77" s="883"/>
      <c r="F77" s="324">
        <f>SUM(F71:F76)</f>
        <v>0</v>
      </c>
      <c r="G77" s="315">
        <f>SUM(G71:G76)</f>
        <v>0</v>
      </c>
      <c r="H77" s="4">
        <f>ROUND(G34*F77,2)</f>
        <v>0</v>
      </c>
    </row>
    <row r="78" spans="1:8" x14ac:dyDescent="0.2">
      <c r="A78" s="890" t="s">
        <v>74</v>
      </c>
      <c r="B78" s="891"/>
      <c r="C78" s="891"/>
      <c r="D78" s="891"/>
      <c r="E78" s="891"/>
      <c r="F78" s="892"/>
      <c r="G78" s="893"/>
      <c r="H78" s="4"/>
    </row>
    <row r="79" spans="1:8" s="21" customFormat="1" x14ac:dyDescent="0.2">
      <c r="A79" s="906" t="s">
        <v>120</v>
      </c>
      <c r="B79" s="907"/>
      <c r="C79" s="907"/>
      <c r="D79" s="907"/>
      <c r="E79" s="907"/>
      <c r="F79" s="907"/>
      <c r="G79" s="908"/>
      <c r="H79" s="4"/>
    </row>
    <row r="80" spans="1:8" x14ac:dyDescent="0.2">
      <c r="A80" s="293" t="s">
        <v>28</v>
      </c>
      <c r="B80" s="933" t="s">
        <v>408</v>
      </c>
      <c r="C80" s="934"/>
      <c r="D80" s="934"/>
      <c r="E80" s="934"/>
      <c r="F80" s="294">
        <v>0</v>
      </c>
      <c r="G80" s="311">
        <f t="shared" ref="G80:G85" si="3">ROUND(G$34*F80,2)</f>
        <v>0</v>
      </c>
      <c r="H80" s="4"/>
    </row>
    <row r="81" spans="1:8" x14ac:dyDescent="0.2">
      <c r="A81" s="156" t="s">
        <v>29</v>
      </c>
      <c r="B81" s="802" t="s">
        <v>121</v>
      </c>
      <c r="C81" s="803"/>
      <c r="D81" s="803"/>
      <c r="E81" s="803"/>
      <c r="F81" s="594">
        <f>ROUND(((1/30)/12)*1,4)*0</f>
        <v>0</v>
      </c>
      <c r="G81" s="313">
        <f t="shared" si="3"/>
        <v>0</v>
      </c>
      <c r="H81" s="4"/>
    </row>
    <row r="82" spans="1:8" x14ac:dyDescent="0.2">
      <c r="A82" s="156" t="s">
        <v>30</v>
      </c>
      <c r="B82" s="802" t="s">
        <v>122</v>
      </c>
      <c r="C82" s="803"/>
      <c r="D82" s="803"/>
      <c r="E82" s="803"/>
      <c r="F82" s="594">
        <f>ROUND((((1/30)/12)*5)*0.02,4)*0</f>
        <v>0</v>
      </c>
      <c r="G82" s="313">
        <f t="shared" si="3"/>
        <v>0</v>
      </c>
      <c r="H82" s="4"/>
    </row>
    <row r="83" spans="1:8" x14ac:dyDescent="0.2">
      <c r="A83" s="156" t="s">
        <v>31</v>
      </c>
      <c r="B83" s="802" t="s">
        <v>123</v>
      </c>
      <c r="C83" s="803"/>
      <c r="D83" s="803"/>
      <c r="E83" s="803"/>
      <c r="F83" s="594">
        <f>ROUND((((1/30)/12)*15)*0.05,4)*0</f>
        <v>0</v>
      </c>
      <c r="G83" s="313">
        <f t="shared" si="3"/>
        <v>0</v>
      </c>
      <c r="H83" s="4"/>
    </row>
    <row r="84" spans="1:8" x14ac:dyDescent="0.2">
      <c r="A84" s="156" t="s">
        <v>32</v>
      </c>
      <c r="B84" s="926" t="s">
        <v>409</v>
      </c>
      <c r="C84" s="927"/>
      <c r="D84" s="927"/>
      <c r="E84" s="927"/>
      <c r="F84" s="281">
        <v>0</v>
      </c>
      <c r="G84" s="313">
        <f t="shared" si="3"/>
        <v>0</v>
      </c>
      <c r="H84" s="4"/>
    </row>
    <row r="85" spans="1:8" x14ac:dyDescent="0.2">
      <c r="A85" s="156" t="s">
        <v>34</v>
      </c>
      <c r="B85" s="928" t="s">
        <v>124</v>
      </c>
      <c r="C85" s="929"/>
      <c r="D85" s="929"/>
      <c r="E85" s="929"/>
      <c r="F85" s="596">
        <f>ROUND((((1/30)/12)*5)*0.5,4)*0</f>
        <v>0</v>
      </c>
      <c r="G85" s="314">
        <f t="shared" si="3"/>
        <v>0</v>
      </c>
      <c r="H85" s="4"/>
    </row>
    <row r="86" spans="1:8" x14ac:dyDescent="0.2">
      <c r="A86" s="911" t="s">
        <v>75</v>
      </c>
      <c r="B86" s="899"/>
      <c r="C86" s="899"/>
      <c r="D86" s="899"/>
      <c r="E86" s="899"/>
      <c r="F86" s="291">
        <f>SUM(F80:F85)</f>
        <v>0</v>
      </c>
      <c r="G86" s="292">
        <f>SUM(G80:G85)</f>
        <v>0</v>
      </c>
      <c r="H86" s="4">
        <f>ROUND(G34*F86,2)</f>
        <v>0</v>
      </c>
    </row>
    <row r="87" spans="1:8" s="21" customFormat="1" x14ac:dyDescent="0.2">
      <c r="A87" s="930" t="s">
        <v>76</v>
      </c>
      <c r="B87" s="931"/>
      <c r="C87" s="931"/>
      <c r="D87" s="931"/>
      <c r="E87" s="931"/>
      <c r="F87" s="931"/>
      <c r="G87" s="932"/>
      <c r="H87" s="4"/>
    </row>
    <row r="88" spans="1:8" x14ac:dyDescent="0.2">
      <c r="A88" s="310" t="s">
        <v>28</v>
      </c>
      <c r="B88" s="788" t="s">
        <v>77</v>
      </c>
      <c r="C88" s="789"/>
      <c r="D88" s="789"/>
      <c r="E88" s="789"/>
      <c r="F88" s="590">
        <f xml:space="preserve"> ROUND((((ROUND((1/11)+(1/11)/3, 3))*4)/12)*1%,4)*0</f>
        <v>0</v>
      </c>
      <c r="G88" s="311">
        <f>ROUND(G$34*F88,2)</f>
        <v>0</v>
      </c>
      <c r="H88" s="4"/>
    </row>
    <row r="89" spans="1:8" x14ac:dyDescent="0.2">
      <c r="A89" s="312" t="s">
        <v>29</v>
      </c>
      <c r="B89" s="741" t="s">
        <v>78</v>
      </c>
      <c r="C89" s="742"/>
      <c r="D89" s="742"/>
      <c r="E89" s="742"/>
      <c r="F89" s="316">
        <f>ROUND(F88*F51,4)</f>
        <v>0</v>
      </c>
      <c r="G89" s="313">
        <f>ROUND(G$34*F89,2)</f>
        <v>0</v>
      </c>
      <c r="H89" s="4"/>
    </row>
    <row r="90" spans="1:8" x14ac:dyDescent="0.2">
      <c r="A90" s="312" t="s">
        <v>30</v>
      </c>
      <c r="B90" s="741" t="s">
        <v>79</v>
      </c>
      <c r="C90" s="742"/>
      <c r="D90" s="742"/>
      <c r="E90" s="742"/>
      <c r="F90" s="592">
        <f>ROUND(ROUND(ROUND(((1+1/12)*4)/12,4)*1%,4)*F51,4)*0</f>
        <v>0</v>
      </c>
      <c r="G90" s="313">
        <f>ROUND(G$34*F90,2)</f>
        <v>0</v>
      </c>
      <c r="H90" s="4"/>
    </row>
    <row r="91" spans="1:8" x14ac:dyDescent="0.2">
      <c r="A91" s="312" t="s">
        <v>31</v>
      </c>
      <c r="B91" s="741" t="s">
        <v>59</v>
      </c>
      <c r="C91" s="742"/>
      <c r="D91" s="742"/>
      <c r="E91" s="742"/>
      <c r="F91" s="316">
        <v>0</v>
      </c>
      <c r="G91" s="314">
        <f>ROUND(G$34*F91,2)</f>
        <v>0</v>
      </c>
      <c r="H91" s="4"/>
    </row>
    <row r="92" spans="1:8" x14ac:dyDescent="0.2">
      <c r="A92" s="912" t="s">
        <v>80</v>
      </c>
      <c r="B92" s="884"/>
      <c r="C92" s="884"/>
      <c r="D92" s="884"/>
      <c r="E92" s="884"/>
      <c r="F92" s="317">
        <f>SUM(F88:F91)</f>
        <v>0</v>
      </c>
      <c r="G92" s="318">
        <f>SUM(G88:G91)</f>
        <v>0</v>
      </c>
      <c r="H92" s="4">
        <f>ROUND(G34*F92,2)</f>
        <v>0</v>
      </c>
    </row>
    <row r="93" spans="1:8" s="21" customFormat="1" x14ac:dyDescent="0.2">
      <c r="A93" s="913" t="s">
        <v>81</v>
      </c>
      <c r="B93" s="914"/>
      <c r="C93" s="914"/>
      <c r="D93" s="914"/>
      <c r="E93" s="914"/>
      <c r="F93" s="914"/>
      <c r="G93" s="915"/>
      <c r="H93" s="4"/>
    </row>
    <row r="94" spans="1:8" x14ac:dyDescent="0.2">
      <c r="A94" s="567" t="s">
        <v>28</v>
      </c>
      <c r="B94" s="916" t="s">
        <v>82</v>
      </c>
      <c r="C94" s="917"/>
      <c r="D94" s="917"/>
      <c r="E94" s="917"/>
      <c r="F94" s="568">
        <f>((1/220)*22)*0</f>
        <v>0</v>
      </c>
      <c r="G94" s="569">
        <f>ROUND(G$34*F94,2)</f>
        <v>0</v>
      </c>
      <c r="H94" s="4"/>
    </row>
    <row r="95" spans="1:8" x14ac:dyDescent="0.2">
      <c r="A95" s="567" t="s">
        <v>29</v>
      </c>
      <c r="B95" s="923" t="s">
        <v>191</v>
      </c>
      <c r="C95" s="924"/>
      <c r="D95" s="924"/>
      <c r="E95" s="925"/>
      <c r="F95" s="570">
        <f>F94*F51</f>
        <v>0</v>
      </c>
      <c r="G95" s="569">
        <f>ROUND(G$34*F95,2)</f>
        <v>0</v>
      </c>
      <c r="H95" s="4"/>
    </row>
    <row r="96" spans="1:8" x14ac:dyDescent="0.2">
      <c r="A96" s="918" t="s">
        <v>83</v>
      </c>
      <c r="B96" s="919"/>
      <c r="C96" s="919"/>
      <c r="D96" s="919"/>
      <c r="E96" s="919"/>
      <c r="F96" s="571">
        <f>SUM(F94:F95)</f>
        <v>0</v>
      </c>
      <c r="G96" s="572">
        <f>SUM(G94:G94)</f>
        <v>0</v>
      </c>
      <c r="H96" s="4">
        <f>ROUND(G34*F96,2)</f>
        <v>0</v>
      </c>
    </row>
    <row r="97" spans="1:9" s="45" customFormat="1" x14ac:dyDescent="0.2">
      <c r="A97" s="906" t="s">
        <v>125</v>
      </c>
      <c r="B97" s="907"/>
      <c r="C97" s="907"/>
      <c r="D97" s="907"/>
      <c r="E97" s="907"/>
      <c r="F97" s="907"/>
      <c r="G97" s="908"/>
      <c r="H97" s="35"/>
    </row>
    <row r="98" spans="1:9" s="34" customFormat="1" x14ac:dyDescent="0.2">
      <c r="A98" s="293" t="s">
        <v>28</v>
      </c>
      <c r="B98" s="909" t="s">
        <v>126</v>
      </c>
      <c r="C98" s="910"/>
      <c r="D98" s="910"/>
      <c r="E98" s="910"/>
      <c r="F98" s="598">
        <f>((((8*13)/12)/220)+((((8*13)/12)/220)*100%))*0</f>
        <v>0</v>
      </c>
      <c r="G98" s="311">
        <f>ROUND(G$34*F98,2)</f>
        <v>0</v>
      </c>
      <c r="H98" s="35"/>
    </row>
    <row r="99" spans="1:9" s="34" customFormat="1" x14ac:dyDescent="0.2">
      <c r="A99" s="293" t="s">
        <v>29</v>
      </c>
      <c r="B99" s="920" t="s">
        <v>191</v>
      </c>
      <c r="C99" s="921"/>
      <c r="D99" s="921"/>
      <c r="E99" s="922"/>
      <c r="F99" s="345">
        <f>F98*F51</f>
        <v>0</v>
      </c>
      <c r="G99" s="311">
        <f>ROUND(G$34*F99,2)</f>
        <v>0</v>
      </c>
      <c r="H99" s="35"/>
    </row>
    <row r="100" spans="1:9" s="34" customFormat="1" x14ac:dyDescent="0.2">
      <c r="A100" s="911" t="s">
        <v>127</v>
      </c>
      <c r="B100" s="899"/>
      <c r="C100" s="899"/>
      <c r="D100" s="899"/>
      <c r="E100" s="899"/>
      <c r="F100" s="291">
        <f>SUM(F98:F99)</f>
        <v>0</v>
      </c>
      <c r="G100" s="292">
        <f>SUM(G98:G98)</f>
        <v>0</v>
      </c>
      <c r="H100" s="35">
        <f>ROUND(G44*F100,2)</f>
        <v>0</v>
      </c>
    </row>
    <row r="101" spans="1:9" x14ac:dyDescent="0.2">
      <c r="A101" s="890" t="s">
        <v>84</v>
      </c>
      <c r="B101" s="891"/>
      <c r="C101" s="891"/>
      <c r="D101" s="891"/>
      <c r="E101" s="891"/>
      <c r="F101" s="892"/>
      <c r="G101" s="893"/>
      <c r="H101" s="4"/>
    </row>
    <row r="102" spans="1:9" x14ac:dyDescent="0.2">
      <c r="A102" s="303" t="s">
        <v>85</v>
      </c>
      <c r="B102" s="894" t="s">
        <v>129</v>
      </c>
      <c r="C102" s="895"/>
      <c r="D102" s="895"/>
      <c r="E102" s="895"/>
      <c r="F102" s="304">
        <f>F86</f>
        <v>0</v>
      </c>
      <c r="G102" s="305">
        <f>G86</f>
        <v>0</v>
      </c>
      <c r="H102" s="4"/>
    </row>
    <row r="103" spans="1:9" x14ac:dyDescent="0.2">
      <c r="A103" s="306" t="s">
        <v>86</v>
      </c>
      <c r="B103" s="877" t="s">
        <v>87</v>
      </c>
      <c r="C103" s="750"/>
      <c r="D103" s="750"/>
      <c r="E103" s="750"/>
      <c r="F103" s="18">
        <f>F92</f>
        <v>0</v>
      </c>
      <c r="G103" s="307">
        <f>G92</f>
        <v>0</v>
      </c>
      <c r="H103" s="4"/>
    </row>
    <row r="104" spans="1:9" x14ac:dyDescent="0.2">
      <c r="A104" s="306" t="s">
        <v>88</v>
      </c>
      <c r="B104" s="877" t="s">
        <v>89</v>
      </c>
      <c r="C104" s="750"/>
      <c r="D104" s="750"/>
      <c r="E104" s="750"/>
      <c r="F104" s="18">
        <f>F96</f>
        <v>0</v>
      </c>
      <c r="G104" s="307">
        <f>G96</f>
        <v>0</v>
      </c>
      <c r="H104" s="4"/>
    </row>
    <row r="105" spans="1:9" x14ac:dyDescent="0.2">
      <c r="A105" s="306" t="s">
        <v>131</v>
      </c>
      <c r="B105" s="879" t="s">
        <v>405</v>
      </c>
      <c r="C105" s="880"/>
      <c r="D105" s="880"/>
      <c r="E105" s="880"/>
      <c r="F105" s="18">
        <f>F100</f>
        <v>0</v>
      </c>
      <c r="G105" s="307">
        <f>G100</f>
        <v>0</v>
      </c>
      <c r="H105" s="4"/>
    </row>
    <row r="106" spans="1:9" x14ac:dyDescent="0.2">
      <c r="A106" s="882" t="s">
        <v>90</v>
      </c>
      <c r="B106" s="883"/>
      <c r="C106" s="883"/>
      <c r="D106" s="883"/>
      <c r="E106" s="883"/>
      <c r="F106" s="884"/>
      <c r="G106" s="280">
        <f>SUM(G102:G105)</f>
        <v>0</v>
      </c>
      <c r="H106" s="4"/>
      <c r="I106" s="319">
        <f>SUM(F100,F96,F92,F86,F77,F65,F66)</f>
        <v>0.61140000000000005</v>
      </c>
    </row>
    <row r="107" spans="1:9" x14ac:dyDescent="0.2">
      <c r="A107" s="890" t="s">
        <v>91</v>
      </c>
      <c r="B107" s="891"/>
      <c r="C107" s="891"/>
      <c r="D107" s="891"/>
      <c r="E107" s="891"/>
      <c r="F107" s="892"/>
      <c r="G107" s="893"/>
      <c r="H107" s="4"/>
    </row>
    <row r="108" spans="1:9" x14ac:dyDescent="0.2">
      <c r="A108" s="310" t="s">
        <v>28</v>
      </c>
      <c r="B108" s="900" t="str">
        <f>'Uniformes e EPI''s'!A5</f>
        <v>UNIFORMES</v>
      </c>
      <c r="C108" s="901"/>
      <c r="D108" s="901"/>
      <c r="E108" s="346">
        <f>'Uniformes e EPI''s'!I17</f>
        <v>0</v>
      </c>
      <c r="F108" s="320">
        <v>1</v>
      </c>
      <c r="G108" s="277">
        <f>ROUND((E108*F108),2)</f>
        <v>0</v>
      </c>
      <c r="H108" s="4"/>
    </row>
    <row r="109" spans="1:9" s="34" customFormat="1" x14ac:dyDescent="0.2">
      <c r="A109" s="156" t="s">
        <v>29</v>
      </c>
      <c r="B109" s="902" t="str">
        <f>'Uniformes e EPI''s'!A19</f>
        <v>EPI's</v>
      </c>
      <c r="C109" s="903"/>
      <c r="D109" s="903"/>
      <c r="E109" s="343">
        <f>'Uniformes e EPI''s'!H39</f>
        <v>0</v>
      </c>
      <c r="F109" s="46">
        <v>1</v>
      </c>
      <c r="G109" s="277">
        <f t="shared" ref="G109:G115" si="4">ROUND((E109*F109),2)</f>
        <v>0</v>
      </c>
      <c r="H109" s="35"/>
    </row>
    <row r="110" spans="1:9" s="34" customFormat="1" x14ac:dyDescent="0.2">
      <c r="A110" s="156" t="s">
        <v>30</v>
      </c>
      <c r="B110" s="741" t="s">
        <v>59</v>
      </c>
      <c r="C110" s="742"/>
      <c r="D110" s="742"/>
      <c r="E110" s="343">
        <v>0</v>
      </c>
      <c r="F110" s="47">
        <v>1</v>
      </c>
      <c r="G110" s="277">
        <f t="shared" si="4"/>
        <v>0</v>
      </c>
      <c r="H110" s="35"/>
    </row>
    <row r="111" spans="1:9" s="34" customFormat="1" x14ac:dyDescent="0.2">
      <c r="A111" s="156" t="s">
        <v>31</v>
      </c>
      <c r="B111" s="741" t="s">
        <v>59</v>
      </c>
      <c r="C111" s="742"/>
      <c r="D111" s="742"/>
      <c r="E111" s="343">
        <v>0</v>
      </c>
      <c r="F111" s="47">
        <v>1</v>
      </c>
      <c r="G111" s="277">
        <f t="shared" si="4"/>
        <v>0</v>
      </c>
      <c r="H111" s="35"/>
    </row>
    <row r="112" spans="1:9" s="34" customFormat="1" x14ac:dyDescent="0.2">
      <c r="A112" s="156" t="s">
        <v>32</v>
      </c>
      <c r="B112" s="741" t="s">
        <v>59</v>
      </c>
      <c r="C112" s="742"/>
      <c r="D112" s="742"/>
      <c r="E112" s="343">
        <v>0</v>
      </c>
      <c r="F112" s="47">
        <v>1</v>
      </c>
      <c r="G112" s="277">
        <f t="shared" si="4"/>
        <v>0</v>
      </c>
      <c r="H112" s="35"/>
    </row>
    <row r="113" spans="1:8" s="34" customFormat="1" x14ac:dyDescent="0.2">
      <c r="A113" s="156" t="s">
        <v>34</v>
      </c>
      <c r="B113" s="741" t="s">
        <v>59</v>
      </c>
      <c r="C113" s="742"/>
      <c r="D113" s="742"/>
      <c r="E113" s="343">
        <v>0</v>
      </c>
      <c r="F113" s="47">
        <v>1</v>
      </c>
      <c r="G113" s="277">
        <f t="shared" si="4"/>
        <v>0</v>
      </c>
      <c r="H113" s="35"/>
    </row>
    <row r="114" spans="1:8" s="34" customFormat="1" x14ac:dyDescent="0.2">
      <c r="A114" s="156" t="s">
        <v>48</v>
      </c>
      <c r="B114" s="741" t="s">
        <v>59</v>
      </c>
      <c r="C114" s="742"/>
      <c r="D114" s="742"/>
      <c r="E114" s="343">
        <v>0</v>
      </c>
      <c r="F114" s="47">
        <v>1</v>
      </c>
      <c r="G114" s="277">
        <f t="shared" si="4"/>
        <v>0</v>
      </c>
      <c r="H114" s="35"/>
    </row>
    <row r="115" spans="1:8" s="34" customFormat="1" x14ac:dyDescent="0.2">
      <c r="A115" s="156" t="s">
        <v>48</v>
      </c>
      <c r="B115" s="904" t="s">
        <v>59</v>
      </c>
      <c r="C115" s="905"/>
      <c r="D115" s="905"/>
      <c r="E115" s="343">
        <v>0</v>
      </c>
      <c r="F115" s="47">
        <v>1</v>
      </c>
      <c r="G115" s="277">
        <f t="shared" si="4"/>
        <v>0</v>
      </c>
      <c r="H115" s="35"/>
    </row>
    <row r="116" spans="1:8" s="34" customFormat="1" x14ac:dyDescent="0.2">
      <c r="A116" s="897" t="s">
        <v>92</v>
      </c>
      <c r="B116" s="898"/>
      <c r="C116" s="898"/>
      <c r="D116" s="898"/>
      <c r="E116" s="898"/>
      <c r="F116" s="899"/>
      <c r="G116" s="280">
        <f>SUM(G108:G115)</f>
        <v>0</v>
      </c>
      <c r="H116" s="35"/>
    </row>
    <row r="117" spans="1:8" x14ac:dyDescent="0.2">
      <c r="A117" s="890" t="s">
        <v>93</v>
      </c>
      <c r="B117" s="891"/>
      <c r="C117" s="891"/>
      <c r="D117" s="891"/>
      <c r="E117" s="891"/>
      <c r="F117" s="892"/>
      <c r="G117" s="893"/>
      <c r="H117" s="4"/>
    </row>
    <row r="118" spans="1:8" s="21" customFormat="1" x14ac:dyDescent="0.2">
      <c r="A118" s="272">
        <v>3</v>
      </c>
      <c r="B118" s="308" t="s">
        <v>94</v>
      </c>
      <c r="C118" s="308"/>
      <c r="D118" s="308"/>
      <c r="E118" s="308"/>
      <c r="F118" s="308"/>
      <c r="G118" s="309"/>
      <c r="H118" s="4"/>
    </row>
    <row r="119" spans="1:8" x14ac:dyDescent="0.2">
      <c r="A119" s="310" t="s">
        <v>28</v>
      </c>
      <c r="B119" s="788" t="s">
        <v>95</v>
      </c>
      <c r="C119" s="789"/>
      <c r="D119" s="789"/>
      <c r="E119" s="789"/>
      <c r="F119" s="601">
        <v>0</v>
      </c>
      <c r="G119" s="295">
        <f>ROUND(G135*F119,2)</f>
        <v>0</v>
      </c>
      <c r="H119" s="4"/>
    </row>
    <row r="120" spans="1:8" x14ac:dyDescent="0.2">
      <c r="A120" s="312" t="s">
        <v>29</v>
      </c>
      <c r="B120" s="741" t="s">
        <v>96</v>
      </c>
      <c r="C120" s="742"/>
      <c r="D120" s="742"/>
      <c r="E120" s="742"/>
      <c r="F120" s="602">
        <v>0</v>
      </c>
      <c r="G120" s="95">
        <f>ROUND(((G135+G119)*F120),2)</f>
        <v>0</v>
      </c>
      <c r="H120" s="4"/>
    </row>
    <row r="121" spans="1:8" x14ac:dyDescent="0.2">
      <c r="A121" s="312" t="s">
        <v>30</v>
      </c>
      <c r="B121" s="766" t="s">
        <v>97</v>
      </c>
      <c r="C121" s="767"/>
      <c r="D121" s="767"/>
      <c r="E121" s="767"/>
      <c r="F121" s="316"/>
      <c r="G121" s="95"/>
      <c r="H121" s="4"/>
    </row>
    <row r="122" spans="1:8" x14ac:dyDescent="0.2">
      <c r="A122" s="312" t="s">
        <v>98</v>
      </c>
      <c r="B122" s="741" t="s">
        <v>99</v>
      </c>
      <c r="C122" s="742"/>
      <c r="D122" s="742"/>
      <c r="E122" s="742"/>
      <c r="F122" s="602">
        <v>0</v>
      </c>
      <c r="G122" s="95">
        <f ca="1">ROUND(G$139*F122,2)</f>
        <v>0</v>
      </c>
      <c r="H122" s="4"/>
    </row>
    <row r="123" spans="1:8" s="3" customFormat="1" x14ac:dyDescent="0.2">
      <c r="A123" s="312" t="s">
        <v>100</v>
      </c>
      <c r="B123" s="741" t="s">
        <v>101</v>
      </c>
      <c r="C123" s="742"/>
      <c r="D123" s="742"/>
      <c r="E123" s="742"/>
      <c r="F123" s="602">
        <v>0</v>
      </c>
      <c r="G123" s="95">
        <f ca="1">ROUND(G$139*F123,2)</f>
        <v>0</v>
      </c>
      <c r="H123" s="4"/>
    </row>
    <row r="124" spans="1:8" x14ac:dyDescent="0.2">
      <c r="A124" s="312" t="s">
        <v>102</v>
      </c>
      <c r="B124" s="741" t="s">
        <v>12</v>
      </c>
      <c r="C124" s="742"/>
      <c r="D124" s="742"/>
      <c r="E124" s="742"/>
      <c r="F124" s="321">
        <v>0.02</v>
      </c>
      <c r="G124" s="95">
        <f ca="1">ROUND(G$139*F124,2)</f>
        <v>110.81</v>
      </c>
      <c r="H124" s="4"/>
    </row>
    <row r="125" spans="1:8" x14ac:dyDescent="0.2">
      <c r="A125" s="499" t="s">
        <v>158</v>
      </c>
      <c r="B125" s="790" t="s">
        <v>59</v>
      </c>
      <c r="C125" s="742"/>
      <c r="D125" s="742"/>
      <c r="E125" s="874"/>
      <c r="F125" s="115">
        <v>0</v>
      </c>
      <c r="G125" s="95">
        <f ca="1">ROUND(G$139*F125,2)</f>
        <v>0</v>
      </c>
      <c r="H125" s="4"/>
    </row>
    <row r="126" spans="1:8" x14ac:dyDescent="0.2">
      <c r="A126" s="312" t="s">
        <v>486</v>
      </c>
      <c r="B126" s="790" t="s">
        <v>59</v>
      </c>
      <c r="C126" s="742"/>
      <c r="D126" s="742"/>
      <c r="E126" s="874"/>
      <c r="F126" s="321">
        <v>0</v>
      </c>
      <c r="G126" s="95">
        <f ca="1">ROUND(G$139*F126,2)</f>
        <v>0</v>
      </c>
      <c r="H126" s="4"/>
    </row>
    <row r="127" spans="1:8" x14ac:dyDescent="0.2">
      <c r="A127" s="312"/>
      <c r="B127" s="888" t="s">
        <v>103</v>
      </c>
      <c r="C127" s="889"/>
      <c r="D127" s="889"/>
      <c r="E127" s="889"/>
      <c r="F127" s="322">
        <f>SUM(F122:F126)</f>
        <v>0.02</v>
      </c>
      <c r="G127" s="323">
        <f ca="1">SUM(G122:G126)</f>
        <v>110.81</v>
      </c>
      <c r="H127" s="4">
        <f ca="1">ROUND(G139*F127,2)</f>
        <v>110.81</v>
      </c>
    </row>
    <row r="128" spans="1:8" x14ac:dyDescent="0.2">
      <c r="A128" s="882" t="s">
        <v>104</v>
      </c>
      <c r="B128" s="883"/>
      <c r="C128" s="883"/>
      <c r="D128" s="883"/>
      <c r="E128" s="883"/>
      <c r="F128" s="324">
        <f>SUM(F119,F120,F127)</f>
        <v>0.02</v>
      </c>
      <c r="G128" s="315">
        <f ca="1">SUM(G119:G126)</f>
        <v>110.81</v>
      </c>
      <c r="H128" s="4"/>
    </row>
    <row r="129" spans="1:8" x14ac:dyDescent="0.2">
      <c r="A129" s="890" t="s">
        <v>105</v>
      </c>
      <c r="B129" s="891"/>
      <c r="C129" s="891"/>
      <c r="D129" s="891"/>
      <c r="E129" s="891"/>
      <c r="F129" s="892"/>
      <c r="G129" s="893"/>
      <c r="H129" s="4"/>
    </row>
    <row r="130" spans="1:8" x14ac:dyDescent="0.2">
      <c r="A130" s="303" t="s">
        <v>28</v>
      </c>
      <c r="B130" s="894" t="s">
        <v>106</v>
      </c>
      <c r="C130" s="895"/>
      <c r="D130" s="895"/>
      <c r="E130" s="895"/>
      <c r="F130" s="896"/>
      <c r="G130" s="305">
        <f>G34</f>
        <v>2690.55</v>
      </c>
      <c r="H130" s="4"/>
    </row>
    <row r="131" spans="1:8" x14ac:dyDescent="0.2">
      <c r="A131" s="306" t="s">
        <v>29</v>
      </c>
      <c r="B131" s="877" t="s">
        <v>107</v>
      </c>
      <c r="C131" s="750"/>
      <c r="D131" s="750"/>
      <c r="E131" s="750"/>
      <c r="F131" s="751"/>
      <c r="G131" s="307">
        <f>G68</f>
        <v>2739.17</v>
      </c>
      <c r="H131" s="4"/>
    </row>
    <row r="132" spans="1:8" x14ac:dyDescent="0.2">
      <c r="A132" s="306" t="s">
        <v>30</v>
      </c>
      <c r="B132" s="877" t="s">
        <v>108</v>
      </c>
      <c r="C132" s="750"/>
      <c r="D132" s="750"/>
      <c r="E132" s="750"/>
      <c r="F132" s="751"/>
      <c r="G132" s="307">
        <f>G77</f>
        <v>0</v>
      </c>
      <c r="H132" s="4"/>
    </row>
    <row r="133" spans="1:8" x14ac:dyDescent="0.2">
      <c r="A133" s="306" t="s">
        <v>31</v>
      </c>
      <c r="B133" s="877" t="s">
        <v>109</v>
      </c>
      <c r="C133" s="750"/>
      <c r="D133" s="750"/>
      <c r="E133" s="750"/>
      <c r="F133" s="751"/>
      <c r="G133" s="307">
        <f>G106</f>
        <v>0</v>
      </c>
      <c r="H133" s="4"/>
    </row>
    <row r="134" spans="1:8" x14ac:dyDescent="0.2">
      <c r="A134" s="306" t="s">
        <v>32</v>
      </c>
      <c r="B134" s="877" t="s">
        <v>110</v>
      </c>
      <c r="C134" s="750"/>
      <c r="D134" s="750"/>
      <c r="E134" s="750"/>
      <c r="F134" s="751"/>
      <c r="G134" s="307">
        <f>G116</f>
        <v>0</v>
      </c>
      <c r="H134" s="4"/>
    </row>
    <row r="135" spans="1:8" x14ac:dyDescent="0.2">
      <c r="A135" s="306"/>
      <c r="B135" s="878" t="s">
        <v>111</v>
      </c>
      <c r="C135" s="753"/>
      <c r="D135" s="753"/>
      <c r="E135" s="753"/>
      <c r="F135" s="754"/>
      <c r="G135" s="307">
        <f>SUM(G130:G134)</f>
        <v>5429.72</v>
      </c>
      <c r="H135" s="4"/>
    </row>
    <row r="136" spans="1:8" x14ac:dyDescent="0.2">
      <c r="A136" s="306" t="s">
        <v>34</v>
      </c>
      <c r="B136" s="879" t="s">
        <v>112</v>
      </c>
      <c r="C136" s="880"/>
      <c r="D136" s="880"/>
      <c r="E136" s="880"/>
      <c r="F136" s="881"/>
      <c r="G136" s="307">
        <f ca="1">G128</f>
        <v>110.81</v>
      </c>
      <c r="H136" s="4"/>
    </row>
    <row r="137" spans="1:8" x14ac:dyDescent="0.2">
      <c r="A137" s="882" t="s">
        <v>113</v>
      </c>
      <c r="B137" s="883"/>
      <c r="C137" s="883"/>
      <c r="D137" s="883"/>
      <c r="E137" s="883"/>
      <c r="F137" s="884"/>
      <c r="G137" s="280">
        <f ca="1">SUM(G135:G136)</f>
        <v>5540.53</v>
      </c>
      <c r="H137" s="4">
        <f ca="1">SUM(G130:G136)-G135</f>
        <v>5540.53</v>
      </c>
    </row>
    <row r="138" spans="1:8" x14ac:dyDescent="0.2">
      <c r="A138" s="885" t="s">
        <v>13</v>
      </c>
      <c r="B138" s="886"/>
      <c r="C138" s="886"/>
      <c r="D138" s="886"/>
      <c r="E138" s="886"/>
      <c r="F138" s="886"/>
      <c r="G138" s="887"/>
      <c r="H138" s="4"/>
    </row>
    <row r="139" spans="1:8" x14ac:dyDescent="0.2">
      <c r="A139" s="325"/>
      <c r="B139" s="26" t="s">
        <v>114</v>
      </c>
      <c r="C139" s="26"/>
      <c r="D139" s="26"/>
      <c r="E139" s="26"/>
      <c r="F139" s="27"/>
      <c r="G139" s="606">
        <f ca="1">G137</f>
        <v>5540.53</v>
      </c>
      <c r="H139" s="4"/>
    </row>
    <row r="140" spans="1:8" x14ac:dyDescent="0.2">
      <c r="A140" s="329"/>
      <c r="B140" s="607" t="s">
        <v>115</v>
      </c>
      <c r="C140" s="607"/>
      <c r="D140" s="607"/>
      <c r="E140" s="607"/>
      <c r="F140" s="608">
        <f>F21</f>
        <v>1</v>
      </c>
      <c r="G140" s="609">
        <f ca="1">G139*F140</f>
        <v>5540.53</v>
      </c>
      <c r="H140" s="4"/>
    </row>
    <row r="141" spans="1:8" x14ac:dyDescent="0.2">
      <c r="F141" s="357"/>
    </row>
    <row r="148" spans="7:7" x14ac:dyDescent="0.2">
      <c r="G148" s="32"/>
    </row>
  </sheetData>
  <mergeCells count="149">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3:E33"/>
    <mergeCell ref="A34:F34"/>
    <mergeCell ref="A35:G35"/>
    <mergeCell ref="A36:G36"/>
    <mergeCell ref="B37:E37"/>
    <mergeCell ref="B38:E38"/>
    <mergeCell ref="B26:E26"/>
    <mergeCell ref="B27:E27"/>
    <mergeCell ref="B28:E28"/>
    <mergeCell ref="B29:E29"/>
    <mergeCell ref="B30:E30"/>
    <mergeCell ref="B32:E32"/>
    <mergeCell ref="B31:E31"/>
    <mergeCell ref="B46:E46"/>
    <mergeCell ref="B47:E47"/>
    <mergeCell ref="B48:E48"/>
    <mergeCell ref="B49:E49"/>
    <mergeCell ref="B50:E50"/>
    <mergeCell ref="A51:E51"/>
    <mergeCell ref="B39:E39"/>
    <mergeCell ref="A41:E41"/>
    <mergeCell ref="A42:G42"/>
    <mergeCell ref="B43:E43"/>
    <mergeCell ref="B44:E44"/>
    <mergeCell ref="B45:E45"/>
    <mergeCell ref="B58:D58"/>
    <mergeCell ref="B59:D59"/>
    <mergeCell ref="B61:D61"/>
    <mergeCell ref="B62:D62"/>
    <mergeCell ref="A63:F63"/>
    <mergeCell ref="A64:G64"/>
    <mergeCell ref="A52:G52"/>
    <mergeCell ref="B53:D53"/>
    <mergeCell ref="B54:D54"/>
    <mergeCell ref="B55:D55"/>
    <mergeCell ref="B56:D56"/>
    <mergeCell ref="B57:D57"/>
    <mergeCell ref="B60:D60"/>
    <mergeCell ref="B72:E72"/>
    <mergeCell ref="B73:E73"/>
    <mergeCell ref="B74:E74"/>
    <mergeCell ref="B75:E75"/>
    <mergeCell ref="B76:E76"/>
    <mergeCell ref="A77:E77"/>
    <mergeCell ref="B65:E65"/>
    <mergeCell ref="B66:E66"/>
    <mergeCell ref="B67:F67"/>
    <mergeCell ref="A68:F68"/>
    <mergeCell ref="A69:G69"/>
    <mergeCell ref="B71:E71"/>
    <mergeCell ref="B84:E84"/>
    <mergeCell ref="B85:E85"/>
    <mergeCell ref="A86:E86"/>
    <mergeCell ref="A87:G87"/>
    <mergeCell ref="B88:E88"/>
    <mergeCell ref="B89:E89"/>
    <mergeCell ref="A78:G78"/>
    <mergeCell ref="A79:G79"/>
    <mergeCell ref="B80:E80"/>
    <mergeCell ref="B81:E81"/>
    <mergeCell ref="B82:E82"/>
    <mergeCell ref="B83:E83"/>
    <mergeCell ref="A96:E96"/>
    <mergeCell ref="A97:G97"/>
    <mergeCell ref="B98:E98"/>
    <mergeCell ref="B99:E99"/>
    <mergeCell ref="A100:E100"/>
    <mergeCell ref="A101:G101"/>
    <mergeCell ref="B90:E90"/>
    <mergeCell ref="B91:E91"/>
    <mergeCell ref="A92:E92"/>
    <mergeCell ref="A93:G93"/>
    <mergeCell ref="B94:E94"/>
    <mergeCell ref="B95:E95"/>
    <mergeCell ref="B108:D108"/>
    <mergeCell ref="B109:D109"/>
    <mergeCell ref="B110:D110"/>
    <mergeCell ref="B111:D111"/>
    <mergeCell ref="B112:D112"/>
    <mergeCell ref="B113:D113"/>
    <mergeCell ref="B102:E102"/>
    <mergeCell ref="B103:E103"/>
    <mergeCell ref="B104:E104"/>
    <mergeCell ref="B105:E105"/>
    <mergeCell ref="A106:F106"/>
    <mergeCell ref="A107:G107"/>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34:F134"/>
    <mergeCell ref="B135:F135"/>
    <mergeCell ref="B136:F136"/>
    <mergeCell ref="A137:F137"/>
    <mergeCell ref="A138:G138"/>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51"/>
  <sheetViews>
    <sheetView view="pageBreakPreview" topLeftCell="A103" zoomScaleNormal="100" zoomScaleSheetLayoutView="100" workbookViewId="0">
      <selection activeCell="F140" sqref="F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967" t="s">
        <v>444</v>
      </c>
      <c r="B2" s="968"/>
      <c r="C2" s="968"/>
      <c r="D2" s="271"/>
      <c r="E2" s="271"/>
      <c r="F2" s="969" t="s">
        <v>449</v>
      </c>
      <c r="G2" s="970"/>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971" t="s">
        <v>5</v>
      </c>
      <c r="B5" s="972"/>
      <c r="C5" s="972"/>
      <c r="D5" s="972"/>
      <c r="E5" s="972"/>
      <c r="F5" s="973"/>
      <c r="G5" s="974"/>
    </row>
    <row r="6" spans="1:8" ht="12.75" customHeight="1" x14ac:dyDescent="0.2">
      <c r="A6" s="947" t="s">
        <v>16</v>
      </c>
      <c r="B6" s="948"/>
      <c r="C6" s="948"/>
      <c r="D6" s="948"/>
      <c r="E6" s="949"/>
      <c r="F6" s="959"/>
      <c r="G6" s="960"/>
    </row>
    <row r="7" spans="1:8" ht="14.1" customHeight="1" x14ac:dyDescent="0.2">
      <c r="A7" s="947" t="s">
        <v>11</v>
      </c>
      <c r="B7" s="948"/>
      <c r="C7" s="948"/>
      <c r="D7" s="948"/>
      <c r="E7" s="949"/>
      <c r="F7" s="977" t="s">
        <v>429</v>
      </c>
      <c r="G7" s="960"/>
    </row>
    <row r="8" spans="1:8" ht="19.5" customHeight="1" x14ac:dyDescent="0.2">
      <c r="A8" s="978" t="s">
        <v>146</v>
      </c>
      <c r="B8" s="979"/>
      <c r="C8" s="979"/>
      <c r="D8" s="979"/>
      <c r="E8" s="979"/>
      <c r="F8" s="979"/>
      <c r="G8" s="980"/>
    </row>
    <row r="9" spans="1:8" ht="19.5" customHeight="1" x14ac:dyDescent="0.2">
      <c r="A9" s="981"/>
      <c r="B9" s="982"/>
      <c r="C9" s="982"/>
      <c r="D9" s="982"/>
      <c r="E9" s="982"/>
      <c r="F9" s="982"/>
      <c r="G9" s="983"/>
    </row>
    <row r="10" spans="1:8" ht="14.1" customHeight="1" x14ac:dyDescent="0.2">
      <c r="A10" s="950" t="s">
        <v>17</v>
      </c>
      <c r="B10" s="951"/>
      <c r="C10" s="951"/>
      <c r="D10" s="951"/>
      <c r="E10" s="952"/>
      <c r="F10" s="975">
        <v>2025</v>
      </c>
      <c r="G10" s="976"/>
    </row>
    <row r="11" spans="1:8" ht="14.1" customHeight="1" x14ac:dyDescent="0.2">
      <c r="A11" s="950" t="s">
        <v>18</v>
      </c>
      <c r="B11" s="951"/>
      <c r="C11" s="951"/>
      <c r="D11" s="951"/>
      <c r="E11" s="952"/>
      <c r="F11" s="975" t="s">
        <v>397</v>
      </c>
      <c r="G11" s="976"/>
    </row>
    <row r="12" spans="1:8" ht="14.1" customHeight="1" x14ac:dyDescent="0.2">
      <c r="A12" s="950" t="s">
        <v>19</v>
      </c>
      <c r="B12" s="951"/>
      <c r="C12" s="951"/>
      <c r="D12" s="951"/>
      <c r="E12" s="952"/>
      <c r="F12" s="975" t="s">
        <v>20</v>
      </c>
      <c r="G12" s="976"/>
    </row>
    <row r="13" spans="1:8" ht="14.1" customHeight="1" x14ac:dyDescent="0.2">
      <c r="A13" s="950" t="s">
        <v>10</v>
      </c>
      <c r="B13" s="951"/>
      <c r="C13" s="951"/>
      <c r="D13" s="951"/>
      <c r="E13" s="952"/>
      <c r="F13" s="975" t="s">
        <v>9</v>
      </c>
      <c r="G13" s="976"/>
    </row>
    <row r="14" spans="1:8" ht="14.1" customHeight="1" x14ac:dyDescent="0.2">
      <c r="A14" s="890" t="s">
        <v>6</v>
      </c>
      <c r="B14" s="891"/>
      <c r="C14" s="891"/>
      <c r="D14" s="891"/>
      <c r="E14" s="891"/>
      <c r="F14" s="892"/>
      <c r="G14" s="893"/>
    </row>
    <row r="15" spans="1:8" ht="14.1" customHeight="1" x14ac:dyDescent="0.2">
      <c r="A15" s="950" t="s">
        <v>7</v>
      </c>
      <c r="B15" s="951"/>
      <c r="C15" s="951"/>
      <c r="D15" s="951"/>
      <c r="E15" s="952"/>
      <c r="F15" s="954">
        <v>1518</v>
      </c>
      <c r="G15" s="955"/>
    </row>
    <row r="16" spans="1:8" ht="13.5" customHeight="1" x14ac:dyDescent="0.2">
      <c r="A16" s="950" t="s">
        <v>0</v>
      </c>
      <c r="B16" s="951"/>
      <c r="C16" s="951"/>
      <c r="D16" s="951"/>
      <c r="E16" s="952"/>
      <c r="F16" s="961" t="s">
        <v>398</v>
      </c>
      <c r="G16" s="962"/>
      <c r="H16" s="3"/>
    </row>
    <row r="17" spans="1:8" ht="14.1" customHeight="1" x14ac:dyDescent="0.2">
      <c r="A17" s="950" t="s">
        <v>21</v>
      </c>
      <c r="B17" s="951"/>
      <c r="C17" s="951"/>
      <c r="D17" s="951"/>
      <c r="E17" s="952"/>
      <c r="F17" s="963" t="s">
        <v>399</v>
      </c>
      <c r="G17" s="964"/>
      <c r="H17" s="3"/>
    </row>
    <row r="18" spans="1:8" ht="14.1" customHeight="1" x14ac:dyDescent="0.2">
      <c r="A18" s="950" t="s">
        <v>1</v>
      </c>
      <c r="B18" s="951"/>
      <c r="C18" s="951"/>
      <c r="D18" s="951"/>
      <c r="E18" s="952"/>
      <c r="F18" s="965">
        <v>1766.58</v>
      </c>
      <c r="G18" s="966"/>
    </row>
    <row r="19" spans="1:8" ht="14.1" customHeight="1" x14ac:dyDescent="0.2">
      <c r="A19" s="947" t="s">
        <v>8</v>
      </c>
      <c r="B19" s="948"/>
      <c r="C19" s="948"/>
      <c r="D19" s="948"/>
      <c r="E19" s="949"/>
      <c r="F19" s="839">
        <v>45658</v>
      </c>
      <c r="G19" s="840"/>
    </row>
    <row r="20" spans="1:8" ht="14.1" customHeight="1" x14ac:dyDescent="0.2">
      <c r="A20" s="950" t="s">
        <v>22</v>
      </c>
      <c r="B20" s="951"/>
      <c r="C20" s="951"/>
      <c r="D20" s="951"/>
      <c r="E20" s="952"/>
      <c r="F20" s="830" t="s">
        <v>140</v>
      </c>
      <c r="G20" s="831"/>
    </row>
    <row r="21" spans="1:8" ht="14.1" customHeight="1" x14ac:dyDescent="0.2">
      <c r="A21" s="947" t="s">
        <v>23</v>
      </c>
      <c r="B21" s="948"/>
      <c r="C21" s="948"/>
      <c r="D21" s="948"/>
      <c r="E21" s="949"/>
      <c r="F21" s="835">
        <v>1</v>
      </c>
      <c r="G21" s="836"/>
    </row>
    <row r="22" spans="1:8" ht="14.1" customHeight="1" x14ac:dyDescent="0.2">
      <c r="A22" s="947" t="s">
        <v>24</v>
      </c>
      <c r="B22" s="948"/>
      <c r="C22" s="948"/>
      <c r="D22" s="948"/>
      <c r="E22" s="949"/>
      <c r="F22" s="835">
        <v>2</v>
      </c>
      <c r="G22" s="836"/>
    </row>
    <row r="23" spans="1:8" ht="12.75" customHeight="1" x14ac:dyDescent="0.2">
      <c r="A23" s="947" t="s">
        <v>25</v>
      </c>
      <c r="B23" s="948"/>
      <c r="C23" s="948"/>
      <c r="D23" s="948"/>
      <c r="E23" s="949"/>
      <c r="F23" s="956" t="s">
        <v>214</v>
      </c>
      <c r="G23" s="957"/>
    </row>
    <row r="24" spans="1:8" ht="27" customHeight="1" x14ac:dyDescent="0.2">
      <c r="A24" s="958" t="s">
        <v>418</v>
      </c>
      <c r="B24" s="959"/>
      <c r="C24" s="959"/>
      <c r="D24" s="959"/>
      <c r="E24" s="959"/>
      <c r="F24" s="959"/>
      <c r="G24" s="960"/>
    </row>
    <row r="25" spans="1:8" x14ac:dyDescent="0.2">
      <c r="A25" s="890" t="s">
        <v>2</v>
      </c>
      <c r="B25" s="891"/>
      <c r="C25" s="891"/>
      <c r="D25" s="891"/>
      <c r="E25" s="891"/>
      <c r="F25" s="892"/>
      <c r="G25" s="893"/>
    </row>
    <row r="26" spans="1:8" x14ac:dyDescent="0.2">
      <c r="A26" s="272">
        <v>1</v>
      </c>
      <c r="B26" s="944" t="s">
        <v>26</v>
      </c>
      <c r="C26" s="944"/>
      <c r="D26" s="944"/>
      <c r="E26" s="944"/>
      <c r="F26" s="359" t="s">
        <v>27</v>
      </c>
      <c r="G26" s="274" t="s">
        <v>3</v>
      </c>
    </row>
    <row r="27" spans="1:8" x14ac:dyDescent="0.2">
      <c r="A27" s="275" t="s">
        <v>28</v>
      </c>
      <c r="B27" s="945" t="s">
        <v>400</v>
      </c>
      <c r="C27" s="945"/>
      <c r="D27" s="945"/>
      <c r="E27" s="945"/>
      <c r="F27" s="276">
        <v>1</v>
      </c>
      <c r="G27" s="277">
        <f>F18*F27</f>
        <v>1766.58</v>
      </c>
      <c r="H27" s="278"/>
    </row>
    <row r="28" spans="1:8" x14ac:dyDescent="0.2">
      <c r="A28" s="275" t="s">
        <v>29</v>
      </c>
      <c r="B28" s="946" t="s">
        <v>117</v>
      </c>
      <c r="C28" s="946"/>
      <c r="D28" s="946"/>
      <c r="E28" s="946"/>
      <c r="F28" s="279">
        <v>0</v>
      </c>
      <c r="G28" s="277">
        <f>ROUND(G27*F28,2)</f>
        <v>0</v>
      </c>
      <c r="H28" s="278"/>
    </row>
    <row r="29" spans="1:8" x14ac:dyDescent="0.2">
      <c r="A29" s="275" t="s">
        <v>30</v>
      </c>
      <c r="B29" s="946" t="s">
        <v>15</v>
      </c>
      <c r="C29" s="946"/>
      <c r="D29" s="946"/>
      <c r="E29" s="946"/>
      <c r="F29" s="279">
        <v>0.2</v>
      </c>
      <c r="G29" s="277">
        <f>ROUND(F15*F29,2)</f>
        <v>303.60000000000002</v>
      </c>
      <c r="H29" s="278"/>
    </row>
    <row r="30" spans="1:8" x14ac:dyDescent="0.2">
      <c r="A30" s="89" t="s">
        <v>31</v>
      </c>
      <c r="B30" s="820" t="s">
        <v>154</v>
      </c>
      <c r="C30" s="820"/>
      <c r="D30" s="820"/>
      <c r="E30" s="820"/>
      <c r="F30" s="276">
        <f>ROUND((ROUND((0*15.22),2)/52.5)*60,2)</f>
        <v>0</v>
      </c>
      <c r="G30" s="277">
        <f>ROUND(ROUND(ROUND((SUM(G27:G29)+G33)/220,2)*0.2,2)*F30,2)</f>
        <v>0</v>
      </c>
      <c r="H30" s="278"/>
    </row>
    <row r="31" spans="1:8" x14ac:dyDescent="0.2">
      <c r="A31" s="89" t="s">
        <v>32</v>
      </c>
      <c r="B31" s="820" t="s">
        <v>33</v>
      </c>
      <c r="C31" s="820"/>
      <c r="D31" s="820"/>
      <c r="E31" s="820"/>
      <c r="F31" s="276">
        <v>0</v>
      </c>
      <c r="G31" s="277"/>
      <c r="H31" s="278"/>
    </row>
    <row r="32" spans="1:8" x14ac:dyDescent="0.2">
      <c r="A32" s="89" t="s">
        <v>34</v>
      </c>
      <c r="B32" s="820" t="s">
        <v>155</v>
      </c>
      <c r="C32" s="820"/>
      <c r="D32" s="820"/>
      <c r="E32" s="820"/>
      <c r="F32" s="276">
        <f>ROUND(SUM(F30)/15.22*5,2)</f>
        <v>0</v>
      </c>
      <c r="G32" s="277">
        <f>ROUND(ROUND(ROUND((SUM(G27:G29)+G33)/220,2)*0.2,2)*F32,2)</f>
        <v>0</v>
      </c>
      <c r="H32" s="278"/>
    </row>
    <row r="33" spans="1:8" x14ac:dyDescent="0.2">
      <c r="A33" s="89" t="s">
        <v>48</v>
      </c>
      <c r="B33" s="820" t="s">
        <v>156</v>
      </c>
      <c r="C33" s="820"/>
      <c r="D33" s="820"/>
      <c r="E33" s="820"/>
      <c r="F33" s="279">
        <v>0</v>
      </c>
      <c r="G33" s="277">
        <f>ROUND(F18*F33,2)</f>
        <v>0</v>
      </c>
      <c r="H33" s="278"/>
    </row>
    <row r="34" spans="1:8" x14ac:dyDescent="0.2">
      <c r="A34" s="912" t="s">
        <v>35</v>
      </c>
      <c r="B34" s="884"/>
      <c r="C34" s="884"/>
      <c r="D34" s="884"/>
      <c r="E34" s="884"/>
      <c r="F34" s="953"/>
      <c r="G34" s="280">
        <f>SUM(G27:G33)</f>
        <v>2070.1799999999998</v>
      </c>
    </row>
    <row r="35" spans="1:8" x14ac:dyDescent="0.2">
      <c r="A35" s="890" t="s">
        <v>36</v>
      </c>
      <c r="B35" s="891"/>
      <c r="C35" s="891"/>
      <c r="D35" s="891"/>
      <c r="E35" s="891"/>
      <c r="F35" s="892"/>
      <c r="G35" s="893"/>
    </row>
    <row r="36" spans="1:8" x14ac:dyDescent="0.2">
      <c r="A36" s="906" t="s">
        <v>37</v>
      </c>
      <c r="B36" s="907"/>
      <c r="C36" s="907"/>
      <c r="D36" s="907"/>
      <c r="E36" s="907"/>
      <c r="F36" s="907"/>
      <c r="G36" s="908"/>
      <c r="H36" s="4"/>
    </row>
    <row r="37" spans="1:8" s="7" customFormat="1" x14ac:dyDescent="0.2">
      <c r="A37" s="156" t="s">
        <v>28</v>
      </c>
      <c r="B37" s="909" t="s">
        <v>38</v>
      </c>
      <c r="C37" s="910"/>
      <c r="D37" s="910"/>
      <c r="E37" s="943"/>
      <c r="F37" s="281">
        <v>8.3299999999999999E-2</v>
      </c>
      <c r="G37" s="95">
        <f>ROUND(G$34*F37,2)</f>
        <v>172.45</v>
      </c>
      <c r="H37" s="357"/>
    </row>
    <row r="38" spans="1:8" x14ac:dyDescent="0.2">
      <c r="A38" s="96" t="s">
        <v>29</v>
      </c>
      <c r="B38" s="928" t="s">
        <v>401</v>
      </c>
      <c r="C38" s="929"/>
      <c r="D38" s="929"/>
      <c r="E38" s="941"/>
      <c r="F38" s="282">
        <f>ROUND((1/11)+(1/11)/3, 3)</f>
        <v>0.121</v>
      </c>
      <c r="G38" s="283">
        <f>ROUND(G$34*F38,2)</f>
        <v>250.49</v>
      </c>
      <c r="H38" s="4"/>
    </row>
    <row r="39" spans="1:8" x14ac:dyDescent="0.2">
      <c r="A39" s="284"/>
      <c r="B39" s="942" t="s">
        <v>39</v>
      </c>
      <c r="C39" s="942"/>
      <c r="D39" s="942"/>
      <c r="E39" s="942"/>
      <c r="F39" s="285">
        <f>SUM(F37:F38)</f>
        <v>0.20430000000000001</v>
      </c>
      <c r="G39" s="95"/>
      <c r="H39" s="4"/>
    </row>
    <row r="40" spans="1:8" x14ac:dyDescent="0.2">
      <c r="A40" s="286" t="s">
        <v>30</v>
      </c>
      <c r="B40" s="287" t="s">
        <v>40</v>
      </c>
      <c r="C40" s="288"/>
      <c r="D40" s="288"/>
      <c r="E40" s="288"/>
      <c r="F40" s="289">
        <f>ROUND((F51*F39),4)</f>
        <v>6.9099999999999995E-2</v>
      </c>
      <c r="G40" s="290">
        <f>ROUND(G$34*F40,2)</f>
        <v>143.05000000000001</v>
      </c>
      <c r="H40" s="4"/>
    </row>
    <row r="41" spans="1:8" x14ac:dyDescent="0.2">
      <c r="A41" s="897" t="s">
        <v>41</v>
      </c>
      <c r="B41" s="898"/>
      <c r="C41" s="898"/>
      <c r="D41" s="898"/>
      <c r="E41" s="899"/>
      <c r="F41" s="291">
        <f>ROUND(SUM(F39:F40),4)</f>
        <v>0.27339999999999998</v>
      </c>
      <c r="G41" s="292">
        <f>SUM(G37:G40)</f>
        <v>565.99</v>
      </c>
      <c r="H41" s="4">
        <f>ROUND(G34*F41,2)</f>
        <v>565.99</v>
      </c>
    </row>
    <row r="42" spans="1:8" x14ac:dyDescent="0.2">
      <c r="A42" s="906" t="s">
        <v>118</v>
      </c>
      <c r="B42" s="907"/>
      <c r="C42" s="907"/>
      <c r="D42" s="907"/>
      <c r="E42" s="907"/>
      <c r="F42" s="907"/>
      <c r="G42" s="908"/>
      <c r="H42" s="4"/>
    </row>
    <row r="43" spans="1:8" x14ac:dyDescent="0.2">
      <c r="A43" s="293" t="s">
        <v>28</v>
      </c>
      <c r="B43" s="909" t="s">
        <v>42</v>
      </c>
      <c r="C43" s="910"/>
      <c r="D43" s="910"/>
      <c r="E43" s="943"/>
      <c r="F43" s="294">
        <v>0.2</v>
      </c>
      <c r="G43" s="295">
        <f t="shared" ref="G43:G50" si="0">ROUND(G$34*F43,2)</f>
        <v>414.04</v>
      </c>
      <c r="H43" s="4"/>
    </row>
    <row r="44" spans="1:8" x14ac:dyDescent="0.2">
      <c r="A44" s="156" t="s">
        <v>29</v>
      </c>
      <c r="B44" s="802" t="s">
        <v>43</v>
      </c>
      <c r="C44" s="803"/>
      <c r="D44" s="803"/>
      <c r="E44" s="816"/>
      <c r="F44" s="281">
        <v>2.5000000000000001E-2</v>
      </c>
      <c r="G44" s="95">
        <f t="shared" si="0"/>
        <v>51.75</v>
      </c>
      <c r="H44" s="4"/>
    </row>
    <row r="45" spans="1:8" x14ac:dyDescent="0.2">
      <c r="A45" s="156" t="s">
        <v>30</v>
      </c>
      <c r="B45" s="802" t="s">
        <v>44</v>
      </c>
      <c r="C45" s="803"/>
      <c r="D45" s="803"/>
      <c r="E45" s="816"/>
      <c r="F45" s="588">
        <v>0</v>
      </c>
      <c r="G45" s="95">
        <f t="shared" si="0"/>
        <v>0</v>
      </c>
      <c r="H45" s="4"/>
    </row>
    <row r="46" spans="1:8" x14ac:dyDescent="0.2">
      <c r="A46" s="156" t="s">
        <v>31</v>
      </c>
      <c r="B46" s="802" t="s">
        <v>45</v>
      </c>
      <c r="C46" s="803"/>
      <c r="D46" s="803"/>
      <c r="E46" s="816"/>
      <c r="F46" s="281">
        <v>1.4999999999999999E-2</v>
      </c>
      <c r="G46" s="95">
        <f t="shared" si="0"/>
        <v>31.05</v>
      </c>
      <c r="H46" s="4"/>
    </row>
    <row r="47" spans="1:8" x14ac:dyDescent="0.2">
      <c r="A47" s="156" t="s">
        <v>32</v>
      </c>
      <c r="B47" s="802" t="s">
        <v>46</v>
      </c>
      <c r="C47" s="803"/>
      <c r="D47" s="803"/>
      <c r="E47" s="816"/>
      <c r="F47" s="281">
        <v>0.01</v>
      </c>
      <c r="G47" s="95">
        <f t="shared" si="0"/>
        <v>20.7</v>
      </c>
      <c r="H47" s="4"/>
    </row>
    <row r="48" spans="1:8" x14ac:dyDescent="0.2">
      <c r="A48" s="156" t="s">
        <v>34</v>
      </c>
      <c r="B48" s="802" t="s">
        <v>47</v>
      </c>
      <c r="C48" s="803"/>
      <c r="D48" s="803"/>
      <c r="E48" s="816"/>
      <c r="F48" s="281">
        <v>6.0000000000000001E-3</v>
      </c>
      <c r="G48" s="95">
        <f t="shared" si="0"/>
        <v>12.42</v>
      </c>
      <c r="H48" s="4"/>
    </row>
    <row r="49" spans="1:8" x14ac:dyDescent="0.2">
      <c r="A49" s="156" t="s">
        <v>48</v>
      </c>
      <c r="B49" s="802" t="s">
        <v>49</v>
      </c>
      <c r="C49" s="803"/>
      <c r="D49" s="803"/>
      <c r="E49" s="816"/>
      <c r="F49" s="281">
        <v>2E-3</v>
      </c>
      <c r="G49" s="95">
        <f t="shared" si="0"/>
        <v>4.1399999999999997</v>
      </c>
      <c r="H49" s="4"/>
    </row>
    <row r="50" spans="1:8" x14ac:dyDescent="0.2">
      <c r="A50" s="96" t="s">
        <v>50</v>
      </c>
      <c r="B50" s="928" t="s">
        <v>51</v>
      </c>
      <c r="C50" s="929"/>
      <c r="D50" s="929"/>
      <c r="E50" s="941"/>
      <c r="F50" s="282">
        <v>0.08</v>
      </c>
      <c r="G50" s="283">
        <f t="shared" si="0"/>
        <v>165.61</v>
      </c>
      <c r="H50" s="4"/>
    </row>
    <row r="51" spans="1:8" x14ac:dyDescent="0.2">
      <c r="A51" s="897" t="s">
        <v>52</v>
      </c>
      <c r="B51" s="898"/>
      <c r="C51" s="898"/>
      <c r="D51" s="898"/>
      <c r="E51" s="899"/>
      <c r="F51" s="291">
        <f>SUM(F43:F50)</f>
        <v>0.33800000000000002</v>
      </c>
      <c r="G51" s="292">
        <f>SUM(G43:G50)</f>
        <v>699.71</v>
      </c>
      <c r="H51" s="4">
        <f>ROUND(G34*F51,2)</f>
        <v>699.72</v>
      </c>
    </row>
    <row r="52" spans="1:8" x14ac:dyDescent="0.2">
      <c r="A52" s="906" t="s">
        <v>53</v>
      </c>
      <c r="B52" s="907"/>
      <c r="C52" s="907"/>
      <c r="D52" s="907"/>
      <c r="E52" s="907"/>
      <c r="F52" s="907"/>
      <c r="G52" s="908"/>
      <c r="H52" s="4"/>
    </row>
    <row r="53" spans="1:8" x14ac:dyDescent="0.2">
      <c r="A53" s="296" t="s">
        <v>28</v>
      </c>
      <c r="B53" s="939" t="s">
        <v>54</v>
      </c>
      <c r="C53" s="940"/>
      <c r="D53" s="940"/>
      <c r="E53" s="604">
        <v>0</v>
      </c>
      <c r="F53" s="297">
        <v>42</v>
      </c>
      <c r="G53" s="298">
        <f>IF(ROUND((E53*F53)-(G27*0.06),2)&lt;0,0,ROUND((E53*F53)-(G27*0.06),2))</f>
        <v>0</v>
      </c>
      <c r="H53" s="4"/>
    </row>
    <row r="54" spans="1:8" x14ac:dyDescent="0.2">
      <c r="A54" s="299" t="s">
        <v>29</v>
      </c>
      <c r="B54" s="808" t="s">
        <v>56</v>
      </c>
      <c r="C54" s="809"/>
      <c r="D54" s="809"/>
      <c r="E54" s="300">
        <f>20.76-1.39</f>
        <v>19.37</v>
      </c>
      <c r="F54" s="301">
        <v>21</v>
      </c>
      <c r="G54" s="277">
        <f t="shared" ref="G54:G62" si="1">ROUND((E54*F54),2)</f>
        <v>406.77</v>
      </c>
      <c r="H54" s="4"/>
    </row>
    <row r="55" spans="1:8" x14ac:dyDescent="0.2">
      <c r="A55" s="299" t="s">
        <v>30</v>
      </c>
      <c r="B55" s="808" t="s">
        <v>58</v>
      </c>
      <c r="C55" s="809"/>
      <c r="D55" s="809"/>
      <c r="E55" s="300">
        <v>144.68</v>
      </c>
      <c r="F55" s="301">
        <v>1</v>
      </c>
      <c r="G55" s="277">
        <f t="shared" si="1"/>
        <v>144.68</v>
      </c>
      <c r="H55" s="4"/>
    </row>
    <row r="56" spans="1:8" x14ac:dyDescent="0.2">
      <c r="A56" s="299" t="s">
        <v>31</v>
      </c>
      <c r="B56" s="808" t="s">
        <v>149</v>
      </c>
      <c r="C56" s="809"/>
      <c r="D56" s="809"/>
      <c r="E56" s="300">
        <v>35.33</v>
      </c>
      <c r="F56" s="301">
        <v>1</v>
      </c>
      <c r="G56" s="277">
        <f t="shared" si="1"/>
        <v>35.33</v>
      </c>
      <c r="H56" s="4"/>
    </row>
    <row r="57" spans="1:8" x14ac:dyDescent="0.2">
      <c r="A57" s="299" t="s">
        <v>32</v>
      </c>
      <c r="B57" s="808" t="s">
        <v>179</v>
      </c>
      <c r="C57" s="809"/>
      <c r="D57" s="809"/>
      <c r="E57" s="605">
        <f>ROUND((F18*30%)*5%,2)*0</f>
        <v>0</v>
      </c>
      <c r="F57" s="301">
        <v>1</v>
      </c>
      <c r="G57" s="277">
        <f t="shared" si="1"/>
        <v>0</v>
      </c>
      <c r="H57" s="4"/>
    </row>
    <row r="58" spans="1:8" x14ac:dyDescent="0.2">
      <c r="A58" s="299" t="s">
        <v>34</v>
      </c>
      <c r="B58" s="808" t="s">
        <v>150</v>
      </c>
      <c r="C58" s="809"/>
      <c r="D58" s="809"/>
      <c r="E58" s="300">
        <f>20.76</f>
        <v>20.76</v>
      </c>
      <c r="F58" s="301">
        <v>1</v>
      </c>
      <c r="G58" s="277">
        <f t="shared" si="1"/>
        <v>20.76</v>
      </c>
      <c r="H58" s="4"/>
    </row>
    <row r="59" spans="1:8" x14ac:dyDescent="0.2">
      <c r="A59" s="299" t="s">
        <v>48</v>
      </c>
      <c r="B59" s="808" t="s">
        <v>180</v>
      </c>
      <c r="C59" s="809"/>
      <c r="D59" s="809"/>
      <c r="E59" s="342">
        <f>15.96</f>
        <v>15.96</v>
      </c>
      <c r="F59" s="301">
        <v>1</v>
      </c>
      <c r="G59" s="277">
        <f t="shared" si="1"/>
        <v>15.96</v>
      </c>
      <c r="H59" s="4"/>
    </row>
    <row r="60" spans="1:8" x14ac:dyDescent="0.2">
      <c r="A60" s="299" t="s">
        <v>50</v>
      </c>
      <c r="B60" s="935" t="s">
        <v>253</v>
      </c>
      <c r="C60" s="813"/>
      <c r="D60" s="813"/>
      <c r="E60" s="343">
        <v>300</v>
      </c>
      <c r="F60" s="301">
        <v>1</v>
      </c>
      <c r="G60" s="277">
        <f t="shared" si="1"/>
        <v>300</v>
      </c>
      <c r="H60" s="4"/>
    </row>
    <row r="61" spans="1:8" x14ac:dyDescent="0.2">
      <c r="A61" s="377" t="s">
        <v>151</v>
      </c>
      <c r="B61" s="935" t="s">
        <v>152</v>
      </c>
      <c r="C61" s="813"/>
      <c r="D61" s="813"/>
      <c r="E61" s="343">
        <v>0</v>
      </c>
      <c r="F61" s="301">
        <v>1</v>
      </c>
      <c r="G61" s="277">
        <f t="shared" si="1"/>
        <v>0</v>
      </c>
      <c r="H61" s="4"/>
    </row>
    <row r="62" spans="1:8" x14ac:dyDescent="0.2">
      <c r="A62" s="299" t="s">
        <v>431</v>
      </c>
      <c r="B62" s="936" t="s">
        <v>152</v>
      </c>
      <c r="C62" s="937"/>
      <c r="D62" s="937"/>
      <c r="E62" s="302">
        <v>0</v>
      </c>
      <c r="F62" s="301">
        <v>1</v>
      </c>
      <c r="G62" s="277">
        <f t="shared" si="1"/>
        <v>0</v>
      </c>
      <c r="H62" s="4"/>
    </row>
    <row r="63" spans="1:8" x14ac:dyDescent="0.2">
      <c r="A63" s="938" t="s">
        <v>60</v>
      </c>
      <c r="B63" s="883"/>
      <c r="C63" s="883"/>
      <c r="D63" s="883"/>
      <c r="E63" s="883"/>
      <c r="F63" s="884"/>
      <c r="G63" s="280">
        <f>SUM(G53:G62)+52.42</f>
        <v>975.92</v>
      </c>
      <c r="H63" s="4"/>
    </row>
    <row r="64" spans="1:8" x14ac:dyDescent="0.2">
      <c r="A64" s="890" t="s">
        <v>61</v>
      </c>
      <c r="B64" s="891"/>
      <c r="C64" s="891"/>
      <c r="D64" s="891"/>
      <c r="E64" s="891"/>
      <c r="F64" s="892"/>
      <c r="G64" s="893"/>
      <c r="H64" s="4"/>
    </row>
    <row r="65" spans="1:8" x14ac:dyDescent="0.2">
      <c r="A65" s="303" t="s">
        <v>62</v>
      </c>
      <c r="B65" s="894" t="s">
        <v>63</v>
      </c>
      <c r="C65" s="895"/>
      <c r="D65" s="895"/>
      <c r="E65" s="895"/>
      <c r="F65" s="304">
        <f>F41</f>
        <v>0.27339999999999998</v>
      </c>
      <c r="G65" s="305">
        <f>G41</f>
        <v>565.99</v>
      </c>
      <c r="H65" s="4"/>
    </row>
    <row r="66" spans="1:8" x14ac:dyDescent="0.2">
      <c r="A66" s="306" t="s">
        <v>64</v>
      </c>
      <c r="B66" s="877" t="s">
        <v>128</v>
      </c>
      <c r="C66" s="750"/>
      <c r="D66" s="750"/>
      <c r="E66" s="750"/>
      <c r="F66" s="18">
        <f>F51</f>
        <v>0.33800000000000002</v>
      </c>
      <c r="G66" s="307">
        <f>G51</f>
        <v>699.71</v>
      </c>
      <c r="H66" s="4"/>
    </row>
    <row r="67" spans="1:8" x14ac:dyDescent="0.2">
      <c r="A67" s="306" t="s">
        <v>65</v>
      </c>
      <c r="B67" s="877" t="s">
        <v>66</v>
      </c>
      <c r="C67" s="750"/>
      <c r="D67" s="750"/>
      <c r="E67" s="750"/>
      <c r="F67" s="751"/>
      <c r="G67" s="307">
        <f>G63</f>
        <v>975.92</v>
      </c>
      <c r="H67" s="4"/>
    </row>
    <row r="68" spans="1:8" x14ac:dyDescent="0.2">
      <c r="A68" s="882" t="s">
        <v>67</v>
      </c>
      <c r="B68" s="883"/>
      <c r="C68" s="883"/>
      <c r="D68" s="883"/>
      <c r="E68" s="883"/>
      <c r="F68" s="884"/>
      <c r="G68" s="280">
        <f>SUM(G65:G67)</f>
        <v>2241.62</v>
      </c>
      <c r="H68" s="4"/>
    </row>
    <row r="69" spans="1:8" x14ac:dyDescent="0.2">
      <c r="A69" s="890" t="s">
        <v>68</v>
      </c>
      <c r="B69" s="891"/>
      <c r="C69" s="891"/>
      <c r="D69" s="891"/>
      <c r="E69" s="891"/>
      <c r="F69" s="892"/>
      <c r="G69" s="893"/>
      <c r="H69" s="4"/>
    </row>
    <row r="70" spans="1:8" s="21" customFormat="1" x14ac:dyDescent="0.2">
      <c r="A70" s="272">
        <v>3</v>
      </c>
      <c r="B70" s="308" t="s">
        <v>69</v>
      </c>
      <c r="C70" s="308"/>
      <c r="D70" s="308"/>
      <c r="E70" s="308"/>
      <c r="F70" s="308"/>
      <c r="G70" s="309"/>
      <c r="H70" s="4"/>
    </row>
    <row r="71" spans="1:8" x14ac:dyDescent="0.2">
      <c r="A71" s="310" t="s">
        <v>28</v>
      </c>
      <c r="B71" s="788" t="s">
        <v>70</v>
      </c>
      <c r="C71" s="789"/>
      <c r="D71" s="789"/>
      <c r="E71" s="789"/>
      <c r="F71" s="590">
        <f>ROUND((1/12)*0.05,4)*0</f>
        <v>0</v>
      </c>
      <c r="G71" s="311">
        <f t="shared" ref="G71:G76" si="2">ROUND(G$34*F71,2)</f>
        <v>0</v>
      </c>
      <c r="H71" s="4"/>
    </row>
    <row r="72" spans="1:8" x14ac:dyDescent="0.2">
      <c r="A72" s="312" t="s">
        <v>29</v>
      </c>
      <c r="B72" s="741" t="s">
        <v>71</v>
      </c>
      <c r="C72" s="742"/>
      <c r="D72" s="742"/>
      <c r="E72" s="742"/>
      <c r="F72" s="316">
        <f>ROUND((F71*F50),4)</f>
        <v>0</v>
      </c>
      <c r="G72" s="313">
        <f t="shared" si="2"/>
        <v>0</v>
      </c>
      <c r="H72" s="4"/>
    </row>
    <row r="73" spans="1:8" x14ac:dyDescent="0.2">
      <c r="A73" s="312" t="s">
        <v>30</v>
      </c>
      <c r="B73" s="741" t="s">
        <v>404</v>
      </c>
      <c r="C73" s="742"/>
      <c r="D73" s="742"/>
      <c r="E73" s="742"/>
      <c r="F73" s="592">
        <f>ROUND((0.08*0.4*0.9)*(1+0.09+0.09+0.3),2)*0</f>
        <v>0</v>
      </c>
      <c r="G73" s="313">
        <f t="shared" si="2"/>
        <v>0</v>
      </c>
      <c r="H73" s="4"/>
    </row>
    <row r="74" spans="1:8" x14ac:dyDescent="0.2">
      <c r="A74" s="312" t="s">
        <v>31</v>
      </c>
      <c r="B74" s="741" t="s">
        <v>72</v>
      </c>
      <c r="C74" s="742"/>
      <c r="D74" s="742"/>
      <c r="E74" s="742"/>
      <c r="F74" s="592">
        <f>ROUND(100%/30*7/12*100%,4)*0</f>
        <v>0</v>
      </c>
      <c r="G74" s="313">
        <f t="shared" si="2"/>
        <v>0</v>
      </c>
      <c r="H74" s="4"/>
    </row>
    <row r="75" spans="1:8" s="3" customFormat="1" x14ac:dyDescent="0.2">
      <c r="A75" s="312" t="s">
        <v>32</v>
      </c>
      <c r="B75" s="741" t="s">
        <v>119</v>
      </c>
      <c r="C75" s="742"/>
      <c r="D75" s="742"/>
      <c r="E75" s="742"/>
      <c r="F75" s="316">
        <f>ROUND(F74*F51,4)</f>
        <v>0</v>
      </c>
      <c r="G75" s="313">
        <f t="shared" si="2"/>
        <v>0</v>
      </c>
      <c r="H75" s="4"/>
    </row>
    <row r="76" spans="1:8" x14ac:dyDescent="0.2">
      <c r="A76" s="312" t="s">
        <v>34</v>
      </c>
      <c r="B76" s="791" t="s">
        <v>135</v>
      </c>
      <c r="C76" s="792"/>
      <c r="D76" s="792"/>
      <c r="E76" s="792"/>
      <c r="F76" s="344">
        <v>0</v>
      </c>
      <c r="G76" s="314">
        <f t="shared" si="2"/>
        <v>0</v>
      </c>
      <c r="H76" s="4"/>
    </row>
    <row r="77" spans="1:8" x14ac:dyDescent="0.2">
      <c r="A77" s="882" t="s">
        <v>73</v>
      </c>
      <c r="B77" s="883"/>
      <c r="C77" s="883"/>
      <c r="D77" s="883"/>
      <c r="E77" s="883"/>
      <c r="F77" s="324">
        <f>SUM(F71:F76)</f>
        <v>0</v>
      </c>
      <c r="G77" s="315">
        <f>SUM(G71:G76)</f>
        <v>0</v>
      </c>
      <c r="H77" s="4">
        <f>ROUND(G34*F77,2)</f>
        <v>0</v>
      </c>
    </row>
    <row r="78" spans="1:8" x14ac:dyDescent="0.2">
      <c r="A78" s="890" t="s">
        <v>74</v>
      </c>
      <c r="B78" s="891"/>
      <c r="C78" s="891"/>
      <c r="D78" s="891"/>
      <c r="E78" s="891"/>
      <c r="F78" s="892"/>
      <c r="G78" s="893"/>
      <c r="H78" s="4"/>
    </row>
    <row r="79" spans="1:8" s="21" customFormat="1" x14ac:dyDescent="0.2">
      <c r="A79" s="906" t="s">
        <v>120</v>
      </c>
      <c r="B79" s="907"/>
      <c r="C79" s="907"/>
      <c r="D79" s="907"/>
      <c r="E79" s="907"/>
      <c r="F79" s="907"/>
      <c r="G79" s="908"/>
      <c r="H79" s="4"/>
    </row>
    <row r="80" spans="1:8" x14ac:dyDescent="0.2">
      <c r="A80" s="293" t="s">
        <v>28</v>
      </c>
      <c r="B80" s="933" t="s">
        <v>408</v>
      </c>
      <c r="C80" s="934"/>
      <c r="D80" s="934"/>
      <c r="E80" s="934"/>
      <c r="F80" s="294">
        <v>0</v>
      </c>
      <c r="G80" s="311">
        <f t="shared" ref="G80:G85" si="3">ROUND(G$34*F80,2)</f>
        <v>0</v>
      </c>
      <c r="H80" s="4"/>
    </row>
    <row r="81" spans="1:8" x14ac:dyDescent="0.2">
      <c r="A81" s="156" t="s">
        <v>29</v>
      </c>
      <c r="B81" s="802" t="s">
        <v>121</v>
      </c>
      <c r="C81" s="803"/>
      <c r="D81" s="803"/>
      <c r="E81" s="803"/>
      <c r="F81" s="594">
        <f>ROUND(((1/30)/12)*1,4)*0</f>
        <v>0</v>
      </c>
      <c r="G81" s="313">
        <f t="shared" si="3"/>
        <v>0</v>
      </c>
      <c r="H81" s="4"/>
    </row>
    <row r="82" spans="1:8" x14ac:dyDescent="0.2">
      <c r="A82" s="156" t="s">
        <v>30</v>
      </c>
      <c r="B82" s="802" t="s">
        <v>122</v>
      </c>
      <c r="C82" s="803"/>
      <c r="D82" s="803"/>
      <c r="E82" s="803"/>
      <c r="F82" s="594">
        <f>ROUND((((1/30)/12)*5)*0.02,4)*0</f>
        <v>0</v>
      </c>
      <c r="G82" s="313">
        <f t="shared" si="3"/>
        <v>0</v>
      </c>
      <c r="H82" s="4"/>
    </row>
    <row r="83" spans="1:8" x14ac:dyDescent="0.2">
      <c r="A83" s="156" t="s">
        <v>31</v>
      </c>
      <c r="B83" s="802" t="s">
        <v>123</v>
      </c>
      <c r="C83" s="803"/>
      <c r="D83" s="803"/>
      <c r="E83" s="803"/>
      <c r="F83" s="594">
        <f>ROUND((((1/30)/12)*15)*0.05,4)*0</f>
        <v>0</v>
      </c>
      <c r="G83" s="313">
        <f t="shared" si="3"/>
        <v>0</v>
      </c>
      <c r="H83" s="4"/>
    </row>
    <row r="84" spans="1:8" x14ac:dyDescent="0.2">
      <c r="A84" s="156" t="s">
        <v>32</v>
      </c>
      <c r="B84" s="926" t="s">
        <v>409</v>
      </c>
      <c r="C84" s="927"/>
      <c r="D84" s="927"/>
      <c r="E84" s="927"/>
      <c r="F84" s="281">
        <v>0</v>
      </c>
      <c r="G84" s="313">
        <f t="shared" si="3"/>
        <v>0</v>
      </c>
      <c r="H84" s="4"/>
    </row>
    <row r="85" spans="1:8" x14ac:dyDescent="0.2">
      <c r="A85" s="156" t="s">
        <v>34</v>
      </c>
      <c r="B85" s="928" t="s">
        <v>124</v>
      </c>
      <c r="C85" s="929"/>
      <c r="D85" s="929"/>
      <c r="E85" s="929"/>
      <c r="F85" s="596">
        <f>ROUND((((1/30)/12)*5)*0.5,4)*0</f>
        <v>0</v>
      </c>
      <c r="G85" s="314">
        <f t="shared" si="3"/>
        <v>0</v>
      </c>
      <c r="H85" s="4"/>
    </row>
    <row r="86" spans="1:8" x14ac:dyDescent="0.2">
      <c r="A86" s="911" t="s">
        <v>75</v>
      </c>
      <c r="B86" s="899"/>
      <c r="C86" s="899"/>
      <c r="D86" s="899"/>
      <c r="E86" s="899"/>
      <c r="F86" s="291">
        <f>SUM(F80:F85)</f>
        <v>0</v>
      </c>
      <c r="G86" s="292">
        <f>SUM(G80:G85)</f>
        <v>0</v>
      </c>
      <c r="H86" s="4">
        <f>ROUND(G34*F86,2)</f>
        <v>0</v>
      </c>
    </row>
    <row r="87" spans="1:8" s="21" customFormat="1" x14ac:dyDescent="0.2">
      <c r="A87" s="930" t="s">
        <v>76</v>
      </c>
      <c r="B87" s="931"/>
      <c r="C87" s="931"/>
      <c r="D87" s="931"/>
      <c r="E87" s="931"/>
      <c r="F87" s="931"/>
      <c r="G87" s="932"/>
      <c r="H87" s="4"/>
    </row>
    <row r="88" spans="1:8" x14ac:dyDescent="0.2">
      <c r="A88" s="310" t="s">
        <v>28</v>
      </c>
      <c r="B88" s="788" t="s">
        <v>77</v>
      </c>
      <c r="C88" s="789"/>
      <c r="D88" s="789"/>
      <c r="E88" s="789"/>
      <c r="F88" s="590">
        <f xml:space="preserve"> ROUND((((ROUND((1/11)+(1/11)/3, 3))*4)/12)*1%,4)*0</f>
        <v>0</v>
      </c>
      <c r="G88" s="311">
        <f>ROUND(G$34*F88,2)</f>
        <v>0</v>
      </c>
      <c r="H88" s="4"/>
    </row>
    <row r="89" spans="1:8" x14ac:dyDescent="0.2">
      <c r="A89" s="312" t="s">
        <v>29</v>
      </c>
      <c r="B89" s="741" t="s">
        <v>78</v>
      </c>
      <c r="C89" s="742"/>
      <c r="D89" s="742"/>
      <c r="E89" s="742"/>
      <c r="F89" s="316">
        <f>ROUND(F88*F51,4)</f>
        <v>0</v>
      </c>
      <c r="G89" s="313">
        <f>ROUND(G$34*F89,2)</f>
        <v>0</v>
      </c>
      <c r="H89" s="4"/>
    </row>
    <row r="90" spans="1:8" x14ac:dyDescent="0.2">
      <c r="A90" s="312" t="s">
        <v>30</v>
      </c>
      <c r="B90" s="741" t="s">
        <v>79</v>
      </c>
      <c r="C90" s="742"/>
      <c r="D90" s="742"/>
      <c r="E90" s="742"/>
      <c r="F90" s="592">
        <f>ROUND(ROUND(ROUND(((1+1/12)*4)/12,4)*1%,4)*F51,4)*0</f>
        <v>0</v>
      </c>
      <c r="G90" s="313">
        <f>ROUND(G$34*F90,2)</f>
        <v>0</v>
      </c>
      <c r="H90" s="4"/>
    </row>
    <row r="91" spans="1:8" x14ac:dyDescent="0.2">
      <c r="A91" s="312" t="s">
        <v>31</v>
      </c>
      <c r="B91" s="741" t="s">
        <v>59</v>
      </c>
      <c r="C91" s="742"/>
      <c r="D91" s="742"/>
      <c r="E91" s="742"/>
      <c r="F91" s="316">
        <v>0</v>
      </c>
      <c r="G91" s="314">
        <f>ROUND(G$34*F91,2)</f>
        <v>0</v>
      </c>
      <c r="H91" s="4"/>
    </row>
    <row r="92" spans="1:8" x14ac:dyDescent="0.2">
      <c r="A92" s="912" t="s">
        <v>80</v>
      </c>
      <c r="B92" s="884"/>
      <c r="C92" s="884"/>
      <c r="D92" s="884"/>
      <c r="E92" s="884"/>
      <c r="F92" s="317">
        <f>SUM(F88:F91)</f>
        <v>0</v>
      </c>
      <c r="G92" s="318">
        <f>SUM(G88:G91)</f>
        <v>0</v>
      </c>
      <c r="H92" s="4">
        <f>ROUND(G34*F92,2)</f>
        <v>0</v>
      </c>
    </row>
    <row r="93" spans="1:8" s="21" customFormat="1" x14ac:dyDescent="0.2">
      <c r="A93" s="913" t="s">
        <v>81</v>
      </c>
      <c r="B93" s="914"/>
      <c r="C93" s="914"/>
      <c r="D93" s="914"/>
      <c r="E93" s="914"/>
      <c r="F93" s="914"/>
      <c r="G93" s="915"/>
      <c r="H93" s="4"/>
    </row>
    <row r="94" spans="1:8" x14ac:dyDescent="0.2">
      <c r="A94" s="567" t="s">
        <v>28</v>
      </c>
      <c r="B94" s="916" t="s">
        <v>82</v>
      </c>
      <c r="C94" s="917"/>
      <c r="D94" s="917"/>
      <c r="E94" s="917"/>
      <c r="F94" s="568">
        <f>((1/220)*22)*0</f>
        <v>0</v>
      </c>
      <c r="G94" s="569">
        <f>ROUND(G$34*F94,2)</f>
        <v>0</v>
      </c>
      <c r="H94" s="4"/>
    </row>
    <row r="95" spans="1:8" x14ac:dyDescent="0.2">
      <c r="A95" s="567" t="s">
        <v>29</v>
      </c>
      <c r="B95" s="923" t="s">
        <v>191</v>
      </c>
      <c r="C95" s="924"/>
      <c r="D95" s="924"/>
      <c r="E95" s="925"/>
      <c r="F95" s="570">
        <f>F94*F51</f>
        <v>0</v>
      </c>
      <c r="G95" s="569">
        <f>ROUND(G$34*F95,2)</f>
        <v>0</v>
      </c>
      <c r="H95" s="4"/>
    </row>
    <row r="96" spans="1:8" x14ac:dyDescent="0.2">
      <c r="A96" s="918" t="s">
        <v>83</v>
      </c>
      <c r="B96" s="919"/>
      <c r="C96" s="919"/>
      <c r="D96" s="919"/>
      <c r="E96" s="919"/>
      <c r="F96" s="571">
        <f>SUM(F94:F95)</f>
        <v>0</v>
      </c>
      <c r="G96" s="572">
        <f>SUM(G94:G94)</f>
        <v>0</v>
      </c>
      <c r="H96" s="4">
        <f>ROUND(G34*F96,2)</f>
        <v>0</v>
      </c>
    </row>
    <row r="97" spans="1:9" s="45" customFormat="1" x14ac:dyDescent="0.2">
      <c r="A97" s="906" t="s">
        <v>125</v>
      </c>
      <c r="B97" s="907"/>
      <c r="C97" s="907"/>
      <c r="D97" s="907"/>
      <c r="E97" s="907"/>
      <c r="F97" s="907"/>
      <c r="G97" s="908"/>
      <c r="H97" s="35"/>
    </row>
    <row r="98" spans="1:9" s="34" customFormat="1" x14ac:dyDescent="0.2">
      <c r="A98" s="293" t="s">
        <v>28</v>
      </c>
      <c r="B98" s="909" t="s">
        <v>126</v>
      </c>
      <c r="C98" s="910"/>
      <c r="D98" s="910"/>
      <c r="E98" s="910"/>
      <c r="F98" s="598">
        <f>((((8*13)/12)/220)+((((8*13)/12)/220)*100%))*0</f>
        <v>0</v>
      </c>
      <c r="G98" s="311">
        <f>ROUND(G$34*F98,2)</f>
        <v>0</v>
      </c>
      <c r="H98" s="35"/>
    </row>
    <row r="99" spans="1:9" s="34" customFormat="1" x14ac:dyDescent="0.2">
      <c r="A99" s="293" t="s">
        <v>29</v>
      </c>
      <c r="B99" s="920" t="s">
        <v>191</v>
      </c>
      <c r="C99" s="921"/>
      <c r="D99" s="921"/>
      <c r="E99" s="922"/>
      <c r="F99" s="345">
        <f>F98*F51</f>
        <v>0</v>
      </c>
      <c r="G99" s="311">
        <f>ROUND(G$34*F99,2)</f>
        <v>0</v>
      </c>
      <c r="H99" s="35"/>
    </row>
    <row r="100" spans="1:9" s="34" customFormat="1" x14ac:dyDescent="0.2">
      <c r="A100" s="911" t="s">
        <v>127</v>
      </c>
      <c r="B100" s="899"/>
      <c r="C100" s="899"/>
      <c r="D100" s="899"/>
      <c r="E100" s="899"/>
      <c r="F100" s="291">
        <f>SUM(F98:F99)</f>
        <v>0</v>
      </c>
      <c r="G100" s="292">
        <f>SUM(G98:G98)</f>
        <v>0</v>
      </c>
      <c r="H100" s="35">
        <f>ROUND(G44*F100,2)</f>
        <v>0</v>
      </c>
    </row>
    <row r="101" spans="1:9" x14ac:dyDescent="0.2">
      <c r="A101" s="890" t="s">
        <v>84</v>
      </c>
      <c r="B101" s="891"/>
      <c r="C101" s="891"/>
      <c r="D101" s="891"/>
      <c r="E101" s="891"/>
      <c r="F101" s="892"/>
      <c r="G101" s="893"/>
      <c r="H101" s="4"/>
    </row>
    <row r="102" spans="1:9" x14ac:dyDescent="0.2">
      <c r="A102" s="303" t="s">
        <v>85</v>
      </c>
      <c r="B102" s="894" t="s">
        <v>129</v>
      </c>
      <c r="C102" s="895"/>
      <c r="D102" s="895"/>
      <c r="E102" s="895"/>
      <c r="F102" s="304">
        <f>F86</f>
        <v>0</v>
      </c>
      <c r="G102" s="305">
        <f>G86</f>
        <v>0</v>
      </c>
      <c r="H102" s="4"/>
    </row>
    <row r="103" spans="1:9" x14ac:dyDescent="0.2">
      <c r="A103" s="306" t="s">
        <v>86</v>
      </c>
      <c r="B103" s="877" t="s">
        <v>87</v>
      </c>
      <c r="C103" s="750"/>
      <c r="D103" s="750"/>
      <c r="E103" s="750"/>
      <c r="F103" s="18">
        <f>F92</f>
        <v>0</v>
      </c>
      <c r="G103" s="307">
        <f>G92</f>
        <v>0</v>
      </c>
      <c r="H103" s="4"/>
    </row>
    <row r="104" spans="1:9" x14ac:dyDescent="0.2">
      <c r="A104" s="306" t="s">
        <v>88</v>
      </c>
      <c r="B104" s="877" t="s">
        <v>89</v>
      </c>
      <c r="C104" s="750"/>
      <c r="D104" s="750"/>
      <c r="E104" s="750"/>
      <c r="F104" s="18">
        <f>F96</f>
        <v>0</v>
      </c>
      <c r="G104" s="307">
        <f>G96</f>
        <v>0</v>
      </c>
      <c r="H104" s="4"/>
    </row>
    <row r="105" spans="1:9" x14ac:dyDescent="0.2">
      <c r="A105" s="306" t="s">
        <v>131</v>
      </c>
      <c r="B105" s="879" t="s">
        <v>405</v>
      </c>
      <c r="C105" s="880"/>
      <c r="D105" s="880"/>
      <c r="E105" s="880"/>
      <c r="F105" s="18">
        <f>F100</f>
        <v>0</v>
      </c>
      <c r="G105" s="307">
        <f>G100</f>
        <v>0</v>
      </c>
      <c r="H105" s="4"/>
    </row>
    <row r="106" spans="1:9" x14ac:dyDescent="0.2">
      <c r="A106" s="882" t="s">
        <v>90</v>
      </c>
      <c r="B106" s="883"/>
      <c r="C106" s="883"/>
      <c r="D106" s="883"/>
      <c r="E106" s="883"/>
      <c r="F106" s="884"/>
      <c r="G106" s="280">
        <f>SUM(G102:G105)</f>
        <v>0</v>
      </c>
      <c r="H106" s="4"/>
      <c r="I106" s="319">
        <f>SUM(F100,F96,F92,F86,F77,F65,F66)</f>
        <v>0.61140000000000005</v>
      </c>
    </row>
    <row r="107" spans="1:9" x14ac:dyDescent="0.2">
      <c r="A107" s="890" t="s">
        <v>91</v>
      </c>
      <c r="B107" s="891"/>
      <c r="C107" s="891"/>
      <c r="D107" s="891"/>
      <c r="E107" s="891"/>
      <c r="F107" s="892"/>
      <c r="G107" s="893"/>
      <c r="H107" s="4"/>
    </row>
    <row r="108" spans="1:9" x14ac:dyDescent="0.2">
      <c r="A108" s="310" t="s">
        <v>28</v>
      </c>
      <c r="B108" s="900" t="str">
        <f>'Uniformes e EPI''s'!A5</f>
        <v>UNIFORMES</v>
      </c>
      <c r="C108" s="901"/>
      <c r="D108" s="901"/>
      <c r="E108" s="346">
        <f>'Uniformes e EPI''s'!I17</f>
        <v>0</v>
      </c>
      <c r="F108" s="320">
        <v>1</v>
      </c>
      <c r="G108" s="277">
        <f>ROUND((E108*F108),2)</f>
        <v>0</v>
      </c>
      <c r="H108" s="4"/>
    </row>
    <row r="109" spans="1:9" s="34" customFormat="1" x14ac:dyDescent="0.2">
      <c r="A109" s="156" t="s">
        <v>29</v>
      </c>
      <c r="B109" s="902" t="str">
        <f>'Uniformes e EPI''s'!A19</f>
        <v>EPI's</v>
      </c>
      <c r="C109" s="903"/>
      <c r="D109" s="903"/>
      <c r="E109" s="343">
        <f>'Uniformes e EPI''s'!H39</f>
        <v>0</v>
      </c>
      <c r="F109" s="46">
        <v>1</v>
      </c>
      <c r="G109" s="277">
        <f t="shared" ref="G109:G115" si="4">ROUND((E109*F109),2)</f>
        <v>0</v>
      </c>
      <c r="H109" s="35"/>
    </row>
    <row r="110" spans="1:9" s="34" customFormat="1" x14ac:dyDescent="0.2">
      <c r="A110" s="156" t="s">
        <v>30</v>
      </c>
      <c r="B110" s="741" t="s">
        <v>59</v>
      </c>
      <c r="C110" s="742"/>
      <c r="D110" s="742"/>
      <c r="E110" s="343">
        <v>0</v>
      </c>
      <c r="F110" s="47">
        <v>1</v>
      </c>
      <c r="G110" s="277">
        <f t="shared" si="4"/>
        <v>0</v>
      </c>
      <c r="H110" s="35"/>
    </row>
    <row r="111" spans="1:9" s="34" customFormat="1" x14ac:dyDescent="0.2">
      <c r="A111" s="156" t="s">
        <v>31</v>
      </c>
      <c r="B111" s="741" t="s">
        <v>59</v>
      </c>
      <c r="C111" s="742"/>
      <c r="D111" s="742"/>
      <c r="E111" s="343">
        <v>0</v>
      </c>
      <c r="F111" s="47">
        <v>1</v>
      </c>
      <c r="G111" s="277">
        <f t="shared" si="4"/>
        <v>0</v>
      </c>
      <c r="H111" s="35"/>
    </row>
    <row r="112" spans="1:9" s="34" customFormat="1" x14ac:dyDescent="0.2">
      <c r="A112" s="156" t="s">
        <v>32</v>
      </c>
      <c r="B112" s="741" t="s">
        <v>59</v>
      </c>
      <c r="C112" s="742"/>
      <c r="D112" s="742"/>
      <c r="E112" s="343">
        <v>0</v>
      </c>
      <c r="F112" s="47">
        <v>1</v>
      </c>
      <c r="G112" s="277">
        <f t="shared" si="4"/>
        <v>0</v>
      </c>
      <c r="H112" s="35"/>
    </row>
    <row r="113" spans="1:8" s="34" customFormat="1" x14ac:dyDescent="0.2">
      <c r="A113" s="156" t="s">
        <v>34</v>
      </c>
      <c r="B113" s="741" t="s">
        <v>59</v>
      </c>
      <c r="C113" s="742"/>
      <c r="D113" s="742"/>
      <c r="E113" s="343">
        <v>0</v>
      </c>
      <c r="F113" s="47">
        <v>1</v>
      </c>
      <c r="G113" s="277">
        <f>ROUND((E113*F113)/12,2)</f>
        <v>0</v>
      </c>
      <c r="H113" s="35"/>
    </row>
    <row r="114" spans="1:8" s="34" customFormat="1" x14ac:dyDescent="0.2">
      <c r="A114" s="156" t="s">
        <v>48</v>
      </c>
      <c r="B114" s="741" t="s">
        <v>59</v>
      </c>
      <c r="C114" s="742"/>
      <c r="D114" s="742"/>
      <c r="E114" s="343">
        <v>0</v>
      </c>
      <c r="F114" s="47">
        <v>1</v>
      </c>
      <c r="G114" s="277">
        <f t="shared" si="4"/>
        <v>0</v>
      </c>
      <c r="H114" s="35"/>
    </row>
    <row r="115" spans="1:8" s="34" customFormat="1" x14ac:dyDescent="0.2">
      <c r="A115" s="156" t="s">
        <v>48</v>
      </c>
      <c r="B115" s="904" t="s">
        <v>59</v>
      </c>
      <c r="C115" s="905"/>
      <c r="D115" s="905"/>
      <c r="E115" s="343">
        <v>0</v>
      </c>
      <c r="F115" s="47">
        <v>1</v>
      </c>
      <c r="G115" s="277">
        <f t="shared" si="4"/>
        <v>0</v>
      </c>
      <c r="H115" s="35"/>
    </row>
    <row r="116" spans="1:8" s="34" customFormat="1" x14ac:dyDescent="0.2">
      <c r="A116" s="897" t="s">
        <v>92</v>
      </c>
      <c r="B116" s="898"/>
      <c r="C116" s="898"/>
      <c r="D116" s="898"/>
      <c r="E116" s="898"/>
      <c r="F116" s="899"/>
      <c r="G116" s="280">
        <f>SUM(G108:G115)</f>
        <v>0</v>
      </c>
      <c r="H116" s="35"/>
    </row>
    <row r="117" spans="1:8" x14ac:dyDescent="0.2">
      <c r="A117" s="890" t="s">
        <v>93</v>
      </c>
      <c r="B117" s="891"/>
      <c r="C117" s="891"/>
      <c r="D117" s="891"/>
      <c r="E117" s="891"/>
      <c r="F117" s="892"/>
      <c r="G117" s="893"/>
      <c r="H117" s="4"/>
    </row>
    <row r="118" spans="1:8" s="21" customFormat="1" x14ac:dyDescent="0.2">
      <c r="A118" s="272">
        <v>3</v>
      </c>
      <c r="B118" s="308" t="s">
        <v>94</v>
      </c>
      <c r="C118" s="308"/>
      <c r="D118" s="308"/>
      <c r="E118" s="308"/>
      <c r="F118" s="308"/>
      <c r="G118" s="309"/>
      <c r="H118" s="4"/>
    </row>
    <row r="119" spans="1:8" x14ac:dyDescent="0.2">
      <c r="A119" s="310" t="s">
        <v>28</v>
      </c>
      <c r="B119" s="788" t="s">
        <v>95</v>
      </c>
      <c r="C119" s="789"/>
      <c r="D119" s="789"/>
      <c r="E119" s="789"/>
      <c r="F119" s="601">
        <v>0</v>
      </c>
      <c r="G119" s="295">
        <f>ROUND(G135*F119,2)</f>
        <v>0</v>
      </c>
      <c r="H119" s="4"/>
    </row>
    <row r="120" spans="1:8" x14ac:dyDescent="0.2">
      <c r="A120" s="312" t="s">
        <v>29</v>
      </c>
      <c r="B120" s="741" t="s">
        <v>96</v>
      </c>
      <c r="C120" s="742"/>
      <c r="D120" s="742"/>
      <c r="E120" s="742"/>
      <c r="F120" s="602">
        <v>0</v>
      </c>
      <c r="G120" s="95">
        <f>ROUND(((G135+G119)*F120),2)</f>
        <v>0</v>
      </c>
      <c r="H120" s="4"/>
    </row>
    <row r="121" spans="1:8" x14ac:dyDescent="0.2">
      <c r="A121" s="312" t="s">
        <v>30</v>
      </c>
      <c r="B121" s="766" t="s">
        <v>97</v>
      </c>
      <c r="C121" s="767"/>
      <c r="D121" s="767"/>
      <c r="E121" s="767"/>
      <c r="F121" s="316"/>
      <c r="G121" s="95"/>
      <c r="H121" s="4"/>
    </row>
    <row r="122" spans="1:8" x14ac:dyDescent="0.2">
      <c r="A122" s="312" t="s">
        <v>98</v>
      </c>
      <c r="B122" s="741" t="s">
        <v>99</v>
      </c>
      <c r="C122" s="742"/>
      <c r="D122" s="742"/>
      <c r="E122" s="742"/>
      <c r="F122" s="602">
        <v>0</v>
      </c>
      <c r="G122" s="95">
        <f ca="1">ROUND(G$139*F122,2)</f>
        <v>0</v>
      </c>
      <c r="H122" s="4"/>
    </row>
    <row r="123" spans="1:8" s="3" customFormat="1" x14ac:dyDescent="0.2">
      <c r="A123" s="312" t="s">
        <v>100</v>
      </c>
      <c r="B123" s="741" t="s">
        <v>101</v>
      </c>
      <c r="C123" s="742"/>
      <c r="D123" s="742"/>
      <c r="E123" s="742"/>
      <c r="F123" s="602">
        <v>0</v>
      </c>
      <c r="G123" s="95">
        <f ca="1">ROUND(G$139*F123,2)</f>
        <v>0</v>
      </c>
      <c r="H123" s="4"/>
    </row>
    <row r="124" spans="1:8" x14ac:dyDescent="0.2">
      <c r="A124" s="312" t="s">
        <v>102</v>
      </c>
      <c r="B124" s="741" t="s">
        <v>12</v>
      </c>
      <c r="C124" s="742"/>
      <c r="D124" s="742"/>
      <c r="E124" s="742"/>
      <c r="F124" s="321">
        <v>0.02</v>
      </c>
      <c r="G124" s="95">
        <f ca="1">ROUND(G$139*F124,2)</f>
        <v>88</v>
      </c>
      <c r="H124" s="4"/>
    </row>
    <row r="125" spans="1:8" x14ac:dyDescent="0.2">
      <c r="A125" s="499" t="s">
        <v>158</v>
      </c>
      <c r="B125" s="790" t="s">
        <v>59</v>
      </c>
      <c r="C125" s="742"/>
      <c r="D125" s="742"/>
      <c r="E125" s="874"/>
      <c r="F125" s="115">
        <v>0</v>
      </c>
      <c r="G125" s="95">
        <f ca="1">ROUND(G$139*F125,2)</f>
        <v>0</v>
      </c>
      <c r="H125" s="4"/>
    </row>
    <row r="126" spans="1:8" x14ac:dyDescent="0.2">
      <c r="A126" s="312" t="s">
        <v>486</v>
      </c>
      <c r="B126" s="790" t="s">
        <v>59</v>
      </c>
      <c r="C126" s="742"/>
      <c r="D126" s="742"/>
      <c r="E126" s="874"/>
      <c r="F126" s="321">
        <v>0</v>
      </c>
      <c r="G126" s="95">
        <f ca="1">ROUND(G$139*F126,2)</f>
        <v>0</v>
      </c>
      <c r="H126" s="4"/>
    </row>
    <row r="127" spans="1:8" x14ac:dyDescent="0.2">
      <c r="A127" s="312"/>
      <c r="B127" s="888" t="s">
        <v>103</v>
      </c>
      <c r="C127" s="889"/>
      <c r="D127" s="889"/>
      <c r="E127" s="889"/>
      <c r="F127" s="322">
        <f>SUM(F122:F126)</f>
        <v>0.02</v>
      </c>
      <c r="G127" s="323">
        <f ca="1">SUM(G122:G126)</f>
        <v>88</v>
      </c>
      <c r="H127" s="4">
        <f ca="1">ROUND(G139*F127,2)</f>
        <v>88</v>
      </c>
    </row>
    <row r="128" spans="1:8" x14ac:dyDescent="0.2">
      <c r="A128" s="882" t="s">
        <v>104</v>
      </c>
      <c r="B128" s="883"/>
      <c r="C128" s="883"/>
      <c r="D128" s="883"/>
      <c r="E128" s="883"/>
      <c r="F128" s="324">
        <f>SUM(F119,F120,F127)</f>
        <v>0.02</v>
      </c>
      <c r="G128" s="315">
        <f ca="1">SUM(G119:G126)</f>
        <v>88</v>
      </c>
      <c r="H128" s="4"/>
    </row>
    <row r="129" spans="1:8" x14ac:dyDescent="0.2">
      <c r="A129" s="890" t="s">
        <v>105</v>
      </c>
      <c r="B129" s="891"/>
      <c r="C129" s="891"/>
      <c r="D129" s="891"/>
      <c r="E129" s="891"/>
      <c r="F129" s="892"/>
      <c r="G129" s="893"/>
      <c r="H129" s="4"/>
    </row>
    <row r="130" spans="1:8" x14ac:dyDescent="0.2">
      <c r="A130" s="303" t="s">
        <v>28</v>
      </c>
      <c r="B130" s="894" t="s">
        <v>106</v>
      </c>
      <c r="C130" s="895"/>
      <c r="D130" s="895"/>
      <c r="E130" s="895"/>
      <c r="F130" s="896"/>
      <c r="G130" s="305">
        <f>G34</f>
        <v>2070.1799999999998</v>
      </c>
      <c r="H130" s="4"/>
    </row>
    <row r="131" spans="1:8" x14ac:dyDescent="0.2">
      <c r="A131" s="306" t="s">
        <v>29</v>
      </c>
      <c r="B131" s="877" t="s">
        <v>107</v>
      </c>
      <c r="C131" s="750"/>
      <c r="D131" s="750"/>
      <c r="E131" s="750"/>
      <c r="F131" s="751"/>
      <c r="G131" s="307">
        <f>G68</f>
        <v>2241.62</v>
      </c>
      <c r="H131" s="4"/>
    </row>
    <row r="132" spans="1:8" x14ac:dyDescent="0.2">
      <c r="A132" s="306" t="s">
        <v>30</v>
      </c>
      <c r="B132" s="877" t="s">
        <v>108</v>
      </c>
      <c r="C132" s="750"/>
      <c r="D132" s="750"/>
      <c r="E132" s="750"/>
      <c r="F132" s="751"/>
      <c r="G132" s="307">
        <f>G77</f>
        <v>0</v>
      </c>
      <c r="H132" s="4"/>
    </row>
    <row r="133" spans="1:8" x14ac:dyDescent="0.2">
      <c r="A133" s="306" t="s">
        <v>31</v>
      </c>
      <c r="B133" s="877" t="s">
        <v>109</v>
      </c>
      <c r="C133" s="750"/>
      <c r="D133" s="750"/>
      <c r="E133" s="750"/>
      <c r="F133" s="751"/>
      <c r="G133" s="307">
        <f>G106</f>
        <v>0</v>
      </c>
      <c r="H133" s="4"/>
    </row>
    <row r="134" spans="1:8" x14ac:dyDescent="0.2">
      <c r="A134" s="306" t="s">
        <v>32</v>
      </c>
      <c r="B134" s="877" t="s">
        <v>110</v>
      </c>
      <c r="C134" s="750"/>
      <c r="D134" s="750"/>
      <c r="E134" s="750"/>
      <c r="F134" s="751"/>
      <c r="G134" s="307">
        <f>G116</f>
        <v>0</v>
      </c>
      <c r="H134" s="4"/>
    </row>
    <row r="135" spans="1:8" x14ac:dyDescent="0.2">
      <c r="A135" s="306"/>
      <c r="B135" s="878" t="s">
        <v>111</v>
      </c>
      <c r="C135" s="753"/>
      <c r="D135" s="753"/>
      <c r="E135" s="753"/>
      <c r="F135" s="754"/>
      <c r="G135" s="307">
        <f>SUM(G130:G134)</f>
        <v>4311.8</v>
      </c>
      <c r="H135" s="4"/>
    </row>
    <row r="136" spans="1:8" x14ac:dyDescent="0.2">
      <c r="A136" s="306" t="s">
        <v>34</v>
      </c>
      <c r="B136" s="879" t="s">
        <v>112</v>
      </c>
      <c r="C136" s="880"/>
      <c r="D136" s="880"/>
      <c r="E136" s="880"/>
      <c r="F136" s="881"/>
      <c r="G136" s="307">
        <f ca="1">G128</f>
        <v>88</v>
      </c>
      <c r="H136" s="4"/>
    </row>
    <row r="137" spans="1:8" x14ac:dyDescent="0.2">
      <c r="A137" s="882" t="s">
        <v>113</v>
      </c>
      <c r="B137" s="883"/>
      <c r="C137" s="883"/>
      <c r="D137" s="883"/>
      <c r="E137" s="883"/>
      <c r="F137" s="884"/>
      <c r="G137" s="280">
        <f ca="1">SUM(G135:G136)</f>
        <v>4399.8</v>
      </c>
      <c r="H137" s="4">
        <f ca="1">SUM(G130:G136)-G135</f>
        <v>4399.8</v>
      </c>
    </row>
    <row r="138" spans="1:8" x14ac:dyDescent="0.2">
      <c r="A138" s="885" t="s">
        <v>13</v>
      </c>
      <c r="B138" s="886"/>
      <c r="C138" s="886"/>
      <c r="D138" s="886"/>
      <c r="E138" s="886"/>
      <c r="F138" s="886"/>
      <c r="G138" s="887"/>
      <c r="H138" s="4"/>
    </row>
    <row r="139" spans="1:8" x14ac:dyDescent="0.2">
      <c r="A139" s="325"/>
      <c r="B139" s="326" t="s">
        <v>114</v>
      </c>
      <c r="C139" s="326"/>
      <c r="D139" s="326"/>
      <c r="E139" s="326"/>
      <c r="F139" s="327"/>
      <c r="G139" s="328">
        <f ca="1">G137</f>
        <v>4399.8</v>
      </c>
      <c r="H139" s="4"/>
    </row>
    <row r="140" spans="1:8" x14ac:dyDescent="0.2">
      <c r="A140" s="329"/>
      <c r="B140" s="28" t="s">
        <v>115</v>
      </c>
      <c r="C140" s="28"/>
      <c r="D140" s="28"/>
      <c r="E140" s="28"/>
      <c r="F140" s="29">
        <f>F21</f>
        <v>1</v>
      </c>
      <c r="G140" s="330">
        <f ca="1">G139*F140</f>
        <v>4399.8</v>
      </c>
      <c r="H140" s="4"/>
    </row>
    <row r="141" spans="1:8" x14ac:dyDescent="0.2">
      <c r="A141" s="331"/>
      <c r="B141" s="332" t="s">
        <v>116</v>
      </c>
      <c r="C141" s="332"/>
      <c r="D141" s="332"/>
      <c r="E141" s="332"/>
      <c r="F141" s="333"/>
      <c r="G141" s="334">
        <f>F21*F22</f>
        <v>2</v>
      </c>
      <c r="H141" s="4"/>
    </row>
    <row r="142" spans="1:8" s="31" customFormat="1" x14ac:dyDescent="0.2">
      <c r="A142" s="335"/>
      <c r="B142" s="875" t="s">
        <v>4</v>
      </c>
      <c r="C142" s="875"/>
      <c r="D142" s="875"/>
      <c r="E142" s="875"/>
      <c r="F142" s="30">
        <f>F22</f>
        <v>2</v>
      </c>
      <c r="G142" s="336">
        <f ca="1">G140*F142</f>
        <v>8799.6</v>
      </c>
      <c r="H142" s="4"/>
    </row>
    <row r="143" spans="1:8" s="31" customFormat="1" ht="13.5" thickBot="1" x14ac:dyDescent="0.25">
      <c r="A143" s="337"/>
      <c r="B143" s="876" t="s">
        <v>410</v>
      </c>
      <c r="C143" s="876"/>
      <c r="D143" s="876"/>
      <c r="E143" s="876"/>
      <c r="F143" s="338">
        <v>12</v>
      </c>
      <c r="G143" s="339">
        <f ca="1">G142*F143</f>
        <v>105595.2</v>
      </c>
      <c r="H143" s="4"/>
    </row>
    <row r="144" spans="1:8" x14ac:dyDescent="0.2">
      <c r="F144" s="357"/>
    </row>
    <row r="151" spans="7:7" x14ac:dyDescent="0.2">
      <c r="G151" s="32"/>
    </row>
  </sheetData>
  <mergeCells count="151">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3:E33"/>
    <mergeCell ref="A34:F34"/>
    <mergeCell ref="A35:G35"/>
    <mergeCell ref="A36:G36"/>
    <mergeCell ref="B37:E37"/>
    <mergeCell ref="B38:E38"/>
    <mergeCell ref="B26:E26"/>
    <mergeCell ref="B27:E27"/>
    <mergeCell ref="B28:E28"/>
    <mergeCell ref="B29:E29"/>
    <mergeCell ref="B30:E30"/>
    <mergeCell ref="B32:E32"/>
    <mergeCell ref="B31:E31"/>
    <mergeCell ref="B46:E46"/>
    <mergeCell ref="B47:E47"/>
    <mergeCell ref="B48:E48"/>
    <mergeCell ref="B49:E49"/>
    <mergeCell ref="B50:E50"/>
    <mergeCell ref="A51:E51"/>
    <mergeCell ref="B39:E39"/>
    <mergeCell ref="A41:E41"/>
    <mergeCell ref="A42:G42"/>
    <mergeCell ref="B43:E43"/>
    <mergeCell ref="B44:E44"/>
    <mergeCell ref="B45:E45"/>
    <mergeCell ref="B58:D58"/>
    <mergeCell ref="B59:D59"/>
    <mergeCell ref="B60:D60"/>
    <mergeCell ref="B62:D62"/>
    <mergeCell ref="A63:F63"/>
    <mergeCell ref="A64:G64"/>
    <mergeCell ref="A52:G52"/>
    <mergeCell ref="B53:D53"/>
    <mergeCell ref="B54:D54"/>
    <mergeCell ref="B55:D55"/>
    <mergeCell ref="B56:D56"/>
    <mergeCell ref="B57:D57"/>
    <mergeCell ref="B61:D61"/>
    <mergeCell ref="B72:E72"/>
    <mergeCell ref="B73:E73"/>
    <mergeCell ref="B74:E74"/>
    <mergeCell ref="B75:E75"/>
    <mergeCell ref="B76:E76"/>
    <mergeCell ref="A77:E77"/>
    <mergeCell ref="B65:E65"/>
    <mergeCell ref="B66:E66"/>
    <mergeCell ref="B67:F67"/>
    <mergeCell ref="A68:F68"/>
    <mergeCell ref="A69:G69"/>
    <mergeCell ref="B71:E71"/>
    <mergeCell ref="B84:E84"/>
    <mergeCell ref="B85:E85"/>
    <mergeCell ref="A86:E86"/>
    <mergeCell ref="A87:G87"/>
    <mergeCell ref="B88:E88"/>
    <mergeCell ref="B89:E89"/>
    <mergeCell ref="A78:G78"/>
    <mergeCell ref="A79:G79"/>
    <mergeCell ref="B80:E80"/>
    <mergeCell ref="B81:E81"/>
    <mergeCell ref="B82:E82"/>
    <mergeCell ref="B83:E83"/>
    <mergeCell ref="A96:E96"/>
    <mergeCell ref="A97:G97"/>
    <mergeCell ref="B98:E98"/>
    <mergeCell ref="B99:E99"/>
    <mergeCell ref="A100:E100"/>
    <mergeCell ref="A101:G101"/>
    <mergeCell ref="B90:E90"/>
    <mergeCell ref="B91:E91"/>
    <mergeCell ref="A92:E92"/>
    <mergeCell ref="A93:G93"/>
    <mergeCell ref="B94:E94"/>
    <mergeCell ref="B95:E95"/>
    <mergeCell ref="B108:D108"/>
    <mergeCell ref="B109:D109"/>
    <mergeCell ref="B110:D110"/>
    <mergeCell ref="B111:D111"/>
    <mergeCell ref="B112:D112"/>
    <mergeCell ref="B113:D113"/>
    <mergeCell ref="B102:E102"/>
    <mergeCell ref="B103:E103"/>
    <mergeCell ref="B104:E104"/>
    <mergeCell ref="B105:E105"/>
    <mergeCell ref="A106:F106"/>
    <mergeCell ref="A107:G107"/>
    <mergeCell ref="B121:E121"/>
    <mergeCell ref="B122:E122"/>
    <mergeCell ref="B123:E123"/>
    <mergeCell ref="B124:E124"/>
    <mergeCell ref="B126:E126"/>
    <mergeCell ref="B127:E127"/>
    <mergeCell ref="B114:D114"/>
    <mergeCell ref="B115:D115"/>
    <mergeCell ref="A116:F116"/>
    <mergeCell ref="A117:G117"/>
    <mergeCell ref="B119:E119"/>
    <mergeCell ref="B120:E120"/>
    <mergeCell ref="B125:E125"/>
    <mergeCell ref="B143:E143"/>
    <mergeCell ref="B134:F134"/>
    <mergeCell ref="B135:F135"/>
    <mergeCell ref="B136:F136"/>
    <mergeCell ref="A137:F137"/>
    <mergeCell ref="A138:G138"/>
    <mergeCell ref="B142:E142"/>
    <mergeCell ref="A128:E128"/>
    <mergeCell ref="A129:G129"/>
    <mergeCell ref="B130:F130"/>
    <mergeCell ref="B131:F131"/>
    <mergeCell ref="B132:F132"/>
    <mergeCell ref="B133:F133"/>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ignoredErrors>
    <ignoredError sqref="G113" formula="1"/>
  </ignoredError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7" zoomScaleNormal="100" zoomScaleSheetLayoutView="100" workbookViewId="0">
      <selection activeCell="A134" sqref="A134:C13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49" t="s">
        <v>14</v>
      </c>
      <c r="B1" s="849"/>
      <c r="C1" s="849"/>
      <c r="D1" s="849"/>
      <c r="E1" s="849"/>
      <c r="F1" s="849"/>
      <c r="G1" s="849"/>
    </row>
    <row r="2" spans="1:8" ht="18.75" customHeight="1" x14ac:dyDescent="0.2">
      <c r="A2" s="847" t="s">
        <v>444</v>
      </c>
      <c r="B2" s="848"/>
      <c r="C2" s="848"/>
      <c r="D2" s="2"/>
      <c r="E2" s="2"/>
      <c r="F2" s="850" t="s">
        <v>449</v>
      </c>
      <c r="G2" s="851"/>
    </row>
    <row r="3" spans="1:8" ht="18" customHeight="1" x14ac:dyDescent="0.2">
      <c r="A3" s="852" t="s">
        <v>394</v>
      </c>
      <c r="B3" s="853"/>
      <c r="C3" s="853"/>
      <c r="D3" s="853"/>
      <c r="E3" s="853"/>
      <c r="F3" s="853"/>
      <c r="G3" s="854"/>
    </row>
    <row r="4" spans="1:8" ht="18" customHeight="1" thickBot="1" x14ac:dyDescent="0.25">
      <c r="A4" s="855"/>
      <c r="B4" s="856"/>
      <c r="C4" s="856"/>
      <c r="D4" s="856"/>
      <c r="E4" s="856"/>
      <c r="F4" s="856"/>
      <c r="G4" s="857"/>
    </row>
    <row r="5" spans="1:8" ht="14.1" customHeight="1" x14ac:dyDescent="0.2">
      <c r="A5" s="858" t="s">
        <v>5</v>
      </c>
      <c r="B5" s="859"/>
      <c r="C5" s="859"/>
      <c r="D5" s="859"/>
      <c r="E5" s="859"/>
      <c r="F5" s="860"/>
      <c r="G5" s="861"/>
    </row>
    <row r="6" spans="1:8" x14ac:dyDescent="0.2">
      <c r="A6" s="832" t="s">
        <v>16</v>
      </c>
      <c r="B6" s="833"/>
      <c r="C6" s="833"/>
      <c r="D6" s="833"/>
      <c r="E6" s="834"/>
      <c r="F6" s="862"/>
      <c r="G6" s="863"/>
    </row>
    <row r="7" spans="1:8" ht="14.1" customHeight="1" x14ac:dyDescent="0.2">
      <c r="A7" s="832" t="s">
        <v>11</v>
      </c>
      <c r="B7" s="833"/>
      <c r="C7" s="833"/>
      <c r="D7" s="833"/>
      <c r="E7" s="834"/>
      <c r="F7" s="866" t="s">
        <v>429</v>
      </c>
      <c r="G7" s="863"/>
    </row>
    <row r="8" spans="1:8" ht="19.5" customHeight="1" x14ac:dyDescent="0.2">
      <c r="A8" s="867" t="s">
        <v>146</v>
      </c>
      <c r="B8" s="868"/>
      <c r="C8" s="868"/>
      <c r="D8" s="868"/>
      <c r="E8" s="868"/>
      <c r="F8" s="868"/>
      <c r="G8" s="869"/>
    </row>
    <row r="9" spans="1:8" ht="19.5" customHeight="1" x14ac:dyDescent="0.2">
      <c r="A9" s="870"/>
      <c r="B9" s="871"/>
      <c r="C9" s="871"/>
      <c r="D9" s="871"/>
      <c r="E9" s="871"/>
      <c r="F9" s="871"/>
      <c r="G9" s="872"/>
    </row>
    <row r="10" spans="1:8" ht="14.1" customHeight="1" x14ac:dyDescent="0.2">
      <c r="A10" s="827" t="s">
        <v>17</v>
      </c>
      <c r="B10" s="828"/>
      <c r="C10" s="828"/>
      <c r="D10" s="828"/>
      <c r="E10" s="829"/>
      <c r="F10" s="864">
        <v>2025</v>
      </c>
      <c r="G10" s="865"/>
    </row>
    <row r="11" spans="1:8" ht="14.1" customHeight="1" x14ac:dyDescent="0.2">
      <c r="A11" s="827" t="s">
        <v>18</v>
      </c>
      <c r="B11" s="828"/>
      <c r="C11" s="828"/>
      <c r="D11" s="828"/>
      <c r="E11" s="829"/>
      <c r="F11" s="864" t="s">
        <v>147</v>
      </c>
      <c r="G11" s="865"/>
    </row>
    <row r="12" spans="1:8" ht="14.1" customHeight="1" x14ac:dyDescent="0.2">
      <c r="A12" s="827" t="s">
        <v>19</v>
      </c>
      <c r="B12" s="828"/>
      <c r="C12" s="828"/>
      <c r="D12" s="828"/>
      <c r="E12" s="829"/>
      <c r="F12" s="864" t="s">
        <v>20</v>
      </c>
      <c r="G12" s="865"/>
    </row>
    <row r="13" spans="1:8" ht="14.1" customHeight="1" x14ac:dyDescent="0.2">
      <c r="A13" s="827" t="s">
        <v>10</v>
      </c>
      <c r="B13" s="828"/>
      <c r="C13" s="828"/>
      <c r="D13" s="828"/>
      <c r="E13" s="829"/>
      <c r="F13" s="864" t="s">
        <v>9</v>
      </c>
      <c r="G13" s="865"/>
    </row>
    <row r="14" spans="1:8" ht="14.1" customHeight="1" x14ac:dyDescent="0.2">
      <c r="A14" s="770" t="s">
        <v>6</v>
      </c>
      <c r="B14" s="771"/>
      <c r="C14" s="771"/>
      <c r="D14" s="771"/>
      <c r="E14" s="771"/>
      <c r="F14" s="772"/>
      <c r="G14" s="773"/>
    </row>
    <row r="15" spans="1:8" ht="14.1" customHeight="1" x14ac:dyDescent="0.2">
      <c r="A15" s="827" t="s">
        <v>7</v>
      </c>
      <c r="B15" s="828"/>
      <c r="C15" s="828"/>
      <c r="D15" s="828"/>
      <c r="E15" s="829"/>
      <c r="F15" s="841">
        <v>1518</v>
      </c>
      <c r="G15" s="842"/>
    </row>
    <row r="16" spans="1:8" ht="14.1" customHeight="1" x14ac:dyDescent="0.2">
      <c r="A16" s="827" t="s">
        <v>0</v>
      </c>
      <c r="B16" s="828"/>
      <c r="C16" s="828"/>
      <c r="D16" s="828"/>
      <c r="E16" s="829"/>
      <c r="F16" s="843" t="s">
        <v>501</v>
      </c>
      <c r="G16" s="844"/>
      <c r="H16" s="3"/>
    </row>
    <row r="17" spans="1:8" ht="14.1" customHeight="1" x14ac:dyDescent="0.2">
      <c r="A17" s="827" t="s">
        <v>21</v>
      </c>
      <c r="B17" s="828"/>
      <c r="C17" s="828"/>
      <c r="D17" s="828"/>
      <c r="E17" s="829"/>
      <c r="F17" s="843" t="s">
        <v>422</v>
      </c>
      <c r="G17" s="844"/>
      <c r="H17" s="3"/>
    </row>
    <row r="18" spans="1:8" ht="14.1" customHeight="1" x14ac:dyDescent="0.2">
      <c r="A18" s="827" t="s">
        <v>1</v>
      </c>
      <c r="B18" s="828"/>
      <c r="C18" s="828"/>
      <c r="D18" s="828"/>
      <c r="E18" s="829"/>
      <c r="F18" s="837">
        <v>2247.37</v>
      </c>
      <c r="G18" s="838"/>
    </row>
    <row r="19" spans="1:8" ht="14.1" customHeight="1" x14ac:dyDescent="0.2">
      <c r="A19" s="832" t="s">
        <v>8</v>
      </c>
      <c r="B19" s="833"/>
      <c r="C19" s="833"/>
      <c r="D19" s="833"/>
      <c r="E19" s="834"/>
      <c r="F19" s="839">
        <v>45658</v>
      </c>
      <c r="G19" s="840"/>
    </row>
    <row r="20" spans="1:8" ht="14.1" customHeight="1" x14ac:dyDescent="0.2">
      <c r="A20" s="827" t="s">
        <v>22</v>
      </c>
      <c r="B20" s="828"/>
      <c r="C20" s="828"/>
      <c r="D20" s="828"/>
      <c r="E20" s="829"/>
      <c r="F20" s="830" t="s">
        <v>140</v>
      </c>
      <c r="G20" s="831"/>
    </row>
    <row r="21" spans="1:8" ht="14.1" customHeight="1" x14ac:dyDescent="0.2">
      <c r="A21" s="832" t="s">
        <v>23</v>
      </c>
      <c r="B21" s="833"/>
      <c r="C21" s="833"/>
      <c r="D21" s="833"/>
      <c r="E21" s="834"/>
      <c r="F21" s="835">
        <v>1</v>
      </c>
      <c r="G21" s="836"/>
    </row>
    <row r="22" spans="1:8" ht="14.1" customHeight="1" x14ac:dyDescent="0.2">
      <c r="A22" s="832" t="s">
        <v>24</v>
      </c>
      <c r="B22" s="833"/>
      <c r="C22" s="833"/>
      <c r="D22" s="833"/>
      <c r="E22" s="834"/>
      <c r="F22" s="835">
        <v>1</v>
      </c>
      <c r="G22" s="836"/>
    </row>
    <row r="23" spans="1:8" ht="12.75" customHeight="1" x14ac:dyDescent="0.2">
      <c r="A23" s="832" t="s">
        <v>25</v>
      </c>
      <c r="B23" s="833"/>
      <c r="C23" s="833"/>
      <c r="D23" s="833"/>
      <c r="E23" s="834"/>
      <c r="F23" s="845" t="s">
        <v>214</v>
      </c>
      <c r="G23" s="846"/>
    </row>
    <row r="24" spans="1:8" ht="25.5" customHeight="1" x14ac:dyDescent="0.2">
      <c r="A24" s="873" t="s">
        <v>430</v>
      </c>
      <c r="B24" s="862"/>
      <c r="C24" s="862"/>
      <c r="D24" s="862"/>
      <c r="E24" s="862"/>
      <c r="F24" s="862"/>
      <c r="G24" s="863"/>
    </row>
    <row r="25" spans="1:8" x14ac:dyDescent="0.2">
      <c r="A25" s="770" t="s">
        <v>2</v>
      </c>
      <c r="B25" s="771"/>
      <c r="C25" s="771"/>
      <c r="D25" s="771"/>
      <c r="E25" s="771"/>
      <c r="F25" s="772"/>
      <c r="G25" s="773"/>
    </row>
    <row r="26" spans="1:8" x14ac:dyDescent="0.2">
      <c r="A26" s="87">
        <v>1</v>
      </c>
      <c r="B26" s="826" t="s">
        <v>26</v>
      </c>
      <c r="C26" s="826"/>
      <c r="D26" s="826"/>
      <c r="E26" s="826"/>
      <c r="F26" s="358" t="s">
        <v>27</v>
      </c>
      <c r="G26" s="88" t="s">
        <v>3</v>
      </c>
    </row>
    <row r="27" spans="1:8" s="34" customFormat="1" x14ac:dyDescent="0.2">
      <c r="A27" s="89" t="s">
        <v>28</v>
      </c>
      <c r="B27" s="822" t="s">
        <v>153</v>
      </c>
      <c r="C27" s="822"/>
      <c r="D27" s="822"/>
      <c r="E27" s="822"/>
      <c r="F27" s="90">
        <v>1</v>
      </c>
      <c r="G27" s="91">
        <f>F18*F27</f>
        <v>2247.37</v>
      </c>
      <c r="H27" s="55"/>
    </row>
    <row r="28" spans="1:8" s="34" customFormat="1" x14ac:dyDescent="0.2">
      <c r="A28" s="89" t="s">
        <v>29</v>
      </c>
      <c r="B28" s="820" t="s">
        <v>117</v>
      </c>
      <c r="C28" s="820"/>
      <c r="D28" s="820"/>
      <c r="E28" s="820"/>
      <c r="F28" s="92"/>
      <c r="G28" s="91">
        <f>ROUND(F18*F28,2)</f>
        <v>0</v>
      </c>
      <c r="H28" s="55"/>
    </row>
    <row r="29" spans="1:8" s="34" customFormat="1" x14ac:dyDescent="0.2">
      <c r="A29" s="89" t="s">
        <v>30</v>
      </c>
      <c r="B29" s="820" t="s">
        <v>15</v>
      </c>
      <c r="C29" s="820"/>
      <c r="D29" s="820"/>
      <c r="E29" s="820"/>
      <c r="F29" s="92">
        <v>0.4</v>
      </c>
      <c r="G29" s="91">
        <f>ROUND(F15*F29,2)</f>
        <v>607.20000000000005</v>
      </c>
      <c r="H29" s="55"/>
    </row>
    <row r="30" spans="1:8" s="34" customFormat="1" x14ac:dyDescent="0.2">
      <c r="A30" s="89" t="s">
        <v>31</v>
      </c>
      <c r="B30" s="820" t="s">
        <v>154</v>
      </c>
      <c r="C30" s="820"/>
      <c r="D30" s="820"/>
      <c r="E30" s="820"/>
      <c r="F30" s="92">
        <v>0</v>
      </c>
      <c r="G30" s="91">
        <f>ROUND(F18*F30,2)</f>
        <v>0</v>
      </c>
      <c r="H30" s="55"/>
    </row>
    <row r="31" spans="1:8" s="34" customFormat="1" x14ac:dyDescent="0.2">
      <c r="A31" s="89" t="s">
        <v>32</v>
      </c>
      <c r="B31" s="820" t="s">
        <v>33</v>
      </c>
      <c r="C31" s="820"/>
      <c r="D31" s="820"/>
      <c r="E31" s="820"/>
      <c r="F31" s="90">
        <f>ROUND((ROUND((0*15.22),2)/52.5)*60,2)</f>
        <v>0</v>
      </c>
      <c r="G31" s="91">
        <f>ROUND((F18/192*0.2)*F31,2)</f>
        <v>0</v>
      </c>
      <c r="H31" s="55"/>
    </row>
    <row r="32" spans="1:8" s="34" customFormat="1" x14ac:dyDescent="0.2">
      <c r="A32" s="89" t="s">
        <v>34</v>
      </c>
      <c r="B32" s="820" t="s">
        <v>155</v>
      </c>
      <c r="C32" s="820"/>
      <c r="D32" s="820"/>
      <c r="E32" s="820"/>
      <c r="F32" s="90">
        <f>ROUND(SUM(F31)/25*5,2)</f>
        <v>0</v>
      </c>
      <c r="G32" s="91">
        <f>ROUND((F18/192*0.2)*F32,2)</f>
        <v>0</v>
      </c>
      <c r="H32" s="55"/>
    </row>
    <row r="33" spans="1:8" s="34" customFormat="1" x14ac:dyDescent="0.2">
      <c r="A33" s="89" t="s">
        <v>48</v>
      </c>
      <c r="B33" s="820" t="s">
        <v>156</v>
      </c>
      <c r="C33" s="820"/>
      <c r="D33" s="820"/>
      <c r="E33" s="820"/>
      <c r="F33" s="92"/>
      <c r="G33" s="91">
        <v>0</v>
      </c>
    </row>
    <row r="34" spans="1:8" x14ac:dyDescent="0.2">
      <c r="A34" s="793" t="s">
        <v>35</v>
      </c>
      <c r="B34" s="760"/>
      <c r="C34" s="760"/>
      <c r="D34" s="760"/>
      <c r="E34" s="760"/>
      <c r="F34" s="821"/>
      <c r="G34" s="93">
        <f>SUM(G27:G33)</f>
        <v>2854.57</v>
      </c>
    </row>
    <row r="35" spans="1:8" x14ac:dyDescent="0.2">
      <c r="A35" s="770" t="s">
        <v>36</v>
      </c>
      <c r="B35" s="771"/>
      <c r="C35" s="771"/>
      <c r="D35" s="771"/>
      <c r="E35" s="771"/>
      <c r="F35" s="772"/>
      <c r="G35" s="773"/>
    </row>
    <row r="36" spans="1:8" x14ac:dyDescent="0.2">
      <c r="A36" s="779" t="s">
        <v>37</v>
      </c>
      <c r="B36" s="780"/>
      <c r="C36" s="780"/>
      <c r="D36" s="780"/>
      <c r="E36" s="780"/>
      <c r="F36" s="780"/>
      <c r="G36" s="781"/>
      <c r="H36" s="4"/>
    </row>
    <row r="37" spans="1:8" s="7" customFormat="1" x14ac:dyDescent="0.2">
      <c r="A37" s="36" t="s">
        <v>28</v>
      </c>
      <c r="B37" s="782" t="s">
        <v>38</v>
      </c>
      <c r="C37" s="783"/>
      <c r="D37" s="783"/>
      <c r="E37" s="819"/>
      <c r="F37" s="94">
        <f>ROUND((1/12),6)</f>
        <v>8.3299999999999999E-2</v>
      </c>
      <c r="G37" s="95">
        <f>ROUND(G$34*F37,2)</f>
        <v>237.79</v>
      </c>
      <c r="H37" s="53"/>
    </row>
    <row r="38" spans="1:8" x14ac:dyDescent="0.2">
      <c r="A38" s="96" t="s">
        <v>29</v>
      </c>
      <c r="B38" s="804" t="s">
        <v>157</v>
      </c>
      <c r="C38" s="805"/>
      <c r="D38" s="805"/>
      <c r="E38" s="817"/>
      <c r="F38" s="97">
        <f>ROUND((1/11)+(1/11)/3, 3)</f>
        <v>0.121</v>
      </c>
      <c r="G38" s="8">
        <f>ROUND(G$34*F38,2)</f>
        <v>345.4</v>
      </c>
      <c r="H38" s="4"/>
    </row>
    <row r="39" spans="1:8" x14ac:dyDescent="0.2">
      <c r="A39" s="98"/>
      <c r="B39" s="818" t="s">
        <v>39</v>
      </c>
      <c r="C39" s="818"/>
      <c r="D39" s="818"/>
      <c r="E39" s="818"/>
      <c r="F39" s="37">
        <f>SUM(F37:F38)</f>
        <v>0.20430000000000001</v>
      </c>
      <c r="G39" s="95"/>
      <c r="H39" s="4"/>
    </row>
    <row r="40" spans="1:8" x14ac:dyDescent="0.2">
      <c r="A40" s="99" t="s">
        <v>30</v>
      </c>
      <c r="B40" s="38" t="s">
        <v>40</v>
      </c>
      <c r="C40" s="39"/>
      <c r="D40" s="39"/>
      <c r="E40" s="39"/>
      <c r="F40" s="40">
        <f>ROUND((F51*F39),4)</f>
        <v>6.9099999999999995E-2</v>
      </c>
      <c r="G40" s="9">
        <f>ROUND(G$34*F40,2)</f>
        <v>197.25</v>
      </c>
      <c r="H40" s="4"/>
    </row>
    <row r="41" spans="1:8" x14ac:dyDescent="0.2">
      <c r="A41" s="786" t="s">
        <v>41</v>
      </c>
      <c r="B41" s="787"/>
      <c r="C41" s="787"/>
      <c r="D41" s="787"/>
      <c r="E41" s="785"/>
      <c r="F41" s="41">
        <f>ROUND(SUM(F39:F40),4)</f>
        <v>0.27339999999999998</v>
      </c>
      <c r="G41" s="100">
        <f>SUM(G37:G40)</f>
        <v>780.44</v>
      </c>
      <c r="H41" s="4">
        <f>ROUND(G34*F41,2)</f>
        <v>780.44</v>
      </c>
    </row>
    <row r="42" spans="1:8" x14ac:dyDescent="0.2">
      <c r="A42" s="779" t="s">
        <v>118</v>
      </c>
      <c r="B42" s="780"/>
      <c r="C42" s="780"/>
      <c r="D42" s="780"/>
      <c r="E42" s="780"/>
      <c r="F42" s="780"/>
      <c r="G42" s="781"/>
      <c r="H42" s="4">
        <f>SUM(G41,G34)</f>
        <v>3635.01</v>
      </c>
    </row>
    <row r="43" spans="1:8" x14ac:dyDescent="0.2">
      <c r="A43" s="42" t="s">
        <v>28</v>
      </c>
      <c r="B43" s="782" t="s">
        <v>42</v>
      </c>
      <c r="C43" s="783"/>
      <c r="D43" s="783"/>
      <c r="E43" s="819"/>
      <c r="F43" s="43">
        <v>0.2</v>
      </c>
      <c r="G43" s="22">
        <f>ROUND((G$34)*F43,2)</f>
        <v>570.91</v>
      </c>
      <c r="H43" s="4"/>
    </row>
    <row r="44" spans="1:8" x14ac:dyDescent="0.2">
      <c r="A44" s="36" t="s">
        <v>29</v>
      </c>
      <c r="B44" s="802" t="s">
        <v>43</v>
      </c>
      <c r="C44" s="803"/>
      <c r="D44" s="803"/>
      <c r="E44" s="816"/>
      <c r="F44" s="94">
        <v>2.5000000000000001E-2</v>
      </c>
      <c r="G44" s="101">
        <f>ROUND((G$34)*F44,2)</f>
        <v>71.36</v>
      </c>
      <c r="H44" s="4"/>
    </row>
    <row r="45" spans="1:8" x14ac:dyDescent="0.2">
      <c r="A45" s="36" t="s">
        <v>30</v>
      </c>
      <c r="B45" s="802" t="s">
        <v>44</v>
      </c>
      <c r="C45" s="803"/>
      <c r="D45" s="803"/>
      <c r="E45" s="816"/>
      <c r="F45" s="587">
        <v>0</v>
      </c>
      <c r="G45" s="101">
        <f t="shared" ref="G45:G50" si="0">ROUND((G$34)*F45,2)</f>
        <v>0</v>
      </c>
      <c r="H45" s="4"/>
    </row>
    <row r="46" spans="1:8" x14ac:dyDescent="0.2">
      <c r="A46" s="36" t="s">
        <v>31</v>
      </c>
      <c r="B46" s="802" t="s">
        <v>45</v>
      </c>
      <c r="C46" s="803"/>
      <c r="D46" s="803"/>
      <c r="E46" s="816"/>
      <c r="F46" s="94">
        <v>1.4999999999999999E-2</v>
      </c>
      <c r="G46" s="101">
        <f t="shared" si="0"/>
        <v>42.82</v>
      </c>
      <c r="H46" s="4"/>
    </row>
    <row r="47" spans="1:8" x14ac:dyDescent="0.2">
      <c r="A47" s="36" t="s">
        <v>32</v>
      </c>
      <c r="B47" s="802" t="s">
        <v>46</v>
      </c>
      <c r="C47" s="803"/>
      <c r="D47" s="803"/>
      <c r="E47" s="816"/>
      <c r="F47" s="94">
        <v>0.01</v>
      </c>
      <c r="G47" s="101">
        <f t="shared" si="0"/>
        <v>28.55</v>
      </c>
      <c r="H47" s="4"/>
    </row>
    <row r="48" spans="1:8" x14ac:dyDescent="0.2">
      <c r="A48" s="36" t="s">
        <v>34</v>
      </c>
      <c r="B48" s="802" t="s">
        <v>47</v>
      </c>
      <c r="C48" s="803"/>
      <c r="D48" s="803"/>
      <c r="E48" s="816"/>
      <c r="F48" s="94">
        <v>6.0000000000000001E-3</v>
      </c>
      <c r="G48" s="101">
        <f t="shared" si="0"/>
        <v>17.13</v>
      </c>
      <c r="H48" s="4"/>
    </row>
    <row r="49" spans="1:8" x14ac:dyDescent="0.2">
      <c r="A49" s="36" t="s">
        <v>48</v>
      </c>
      <c r="B49" s="802" t="s">
        <v>49</v>
      </c>
      <c r="C49" s="803"/>
      <c r="D49" s="803"/>
      <c r="E49" s="816"/>
      <c r="F49" s="94">
        <v>2E-3</v>
      </c>
      <c r="G49" s="101">
        <f t="shared" si="0"/>
        <v>5.71</v>
      </c>
      <c r="H49" s="4"/>
    </row>
    <row r="50" spans="1:8" x14ac:dyDescent="0.2">
      <c r="A50" s="96" t="s">
        <v>50</v>
      </c>
      <c r="B50" s="804" t="s">
        <v>51</v>
      </c>
      <c r="C50" s="805"/>
      <c r="D50" s="805"/>
      <c r="E50" s="817"/>
      <c r="F50" s="97">
        <v>0.08</v>
      </c>
      <c r="G50" s="101">
        <f t="shared" si="0"/>
        <v>228.37</v>
      </c>
      <c r="H50" s="4"/>
    </row>
    <row r="51" spans="1:8" x14ac:dyDescent="0.2">
      <c r="A51" s="786" t="s">
        <v>52</v>
      </c>
      <c r="B51" s="787"/>
      <c r="C51" s="787"/>
      <c r="D51" s="787"/>
      <c r="E51" s="785"/>
      <c r="F51" s="41">
        <f>SUM(F43:F50)</f>
        <v>0.33800000000000002</v>
      </c>
      <c r="G51" s="100">
        <f>SUM(G43:G50)</f>
        <v>964.85</v>
      </c>
      <c r="H51" s="4">
        <f>ROUND(G34*F51,2)</f>
        <v>964.84</v>
      </c>
    </row>
    <row r="52" spans="1:8" x14ac:dyDescent="0.2">
      <c r="A52" s="779" t="s">
        <v>53</v>
      </c>
      <c r="B52" s="780"/>
      <c r="C52" s="780"/>
      <c r="D52" s="780"/>
      <c r="E52" s="780"/>
      <c r="F52" s="780"/>
      <c r="G52" s="781"/>
      <c r="H52" s="4"/>
    </row>
    <row r="53" spans="1:8" s="34" customFormat="1" x14ac:dyDescent="0.2">
      <c r="A53" s="42" t="s">
        <v>28</v>
      </c>
      <c r="B53" s="810" t="s">
        <v>54</v>
      </c>
      <c r="C53" s="811"/>
      <c r="D53" s="811"/>
      <c r="E53" s="603">
        <v>0</v>
      </c>
      <c r="F53" s="54">
        <v>42</v>
      </c>
      <c r="G53" s="14">
        <f>IF(ROUND((E53*F53)-(G27*0.06),2)&lt;0,0,ROUND((E53*F53)-(G27*0.06),2))</f>
        <v>0</v>
      </c>
      <c r="H53" s="35"/>
    </row>
    <row r="54" spans="1:8" s="34" customFormat="1" x14ac:dyDescent="0.2">
      <c r="A54" s="36" t="s">
        <v>29</v>
      </c>
      <c r="B54" s="808" t="s">
        <v>56</v>
      </c>
      <c r="C54" s="809"/>
      <c r="D54" s="809"/>
      <c r="E54" s="102">
        <f>20.76-1.39</f>
        <v>19.37</v>
      </c>
      <c r="F54" s="103">
        <v>21</v>
      </c>
      <c r="G54" s="91">
        <f>ROUND((E54*F54),2)</f>
        <v>406.77</v>
      </c>
      <c r="H54" s="35"/>
    </row>
    <row r="55" spans="1:8" s="34" customFormat="1" x14ac:dyDescent="0.2">
      <c r="A55" s="36" t="s">
        <v>30</v>
      </c>
      <c r="B55" s="808" t="s">
        <v>58</v>
      </c>
      <c r="C55" s="809"/>
      <c r="D55" s="809"/>
      <c r="E55" s="102">
        <v>144.68</v>
      </c>
      <c r="F55" s="103">
        <v>1</v>
      </c>
      <c r="G55" s="91">
        <f>ROUND((E55*F55),2)</f>
        <v>144.68</v>
      </c>
      <c r="H55" s="35"/>
    </row>
    <row r="56" spans="1:8" s="34" customFormat="1" x14ac:dyDescent="0.2">
      <c r="A56" s="36" t="s">
        <v>31</v>
      </c>
      <c r="B56" s="808" t="s">
        <v>149</v>
      </c>
      <c r="C56" s="809"/>
      <c r="D56" s="809"/>
      <c r="E56" s="102">
        <v>35.33</v>
      </c>
      <c r="F56" s="103">
        <v>1</v>
      </c>
      <c r="G56" s="91">
        <f>ROUND((E56*F56),2)</f>
        <v>35.33</v>
      </c>
      <c r="H56" s="35"/>
    </row>
    <row r="57" spans="1:8" s="34" customFormat="1" x14ac:dyDescent="0.2">
      <c r="A57" s="36" t="s">
        <v>32</v>
      </c>
      <c r="B57" s="808" t="s">
        <v>179</v>
      </c>
      <c r="C57" s="809"/>
      <c r="D57" s="809"/>
      <c r="E57" s="603">
        <f>ROUND((F18*30%)*5%,2)*0</f>
        <v>0</v>
      </c>
      <c r="F57" s="103">
        <v>1</v>
      </c>
      <c r="G57" s="91">
        <f>ROUND((E57*F57),2)</f>
        <v>0</v>
      </c>
      <c r="H57" s="35"/>
    </row>
    <row r="58" spans="1:8" s="34" customFormat="1" x14ac:dyDescent="0.2">
      <c r="A58" s="36" t="s">
        <v>34</v>
      </c>
      <c r="B58" s="808" t="s">
        <v>150</v>
      </c>
      <c r="C58" s="809"/>
      <c r="D58" s="809"/>
      <c r="E58" s="102">
        <f>20.76</f>
        <v>20.76</v>
      </c>
      <c r="F58" s="103">
        <v>1</v>
      </c>
      <c r="G58" s="91">
        <f>ROUND((E58*F58)/12,2)</f>
        <v>1.73</v>
      </c>
      <c r="H58" s="35"/>
    </row>
    <row r="59" spans="1:8" s="34" customFormat="1" x14ac:dyDescent="0.2">
      <c r="A59" s="36" t="s">
        <v>48</v>
      </c>
      <c r="B59" s="814" t="s">
        <v>180</v>
      </c>
      <c r="C59" s="815"/>
      <c r="D59" s="815"/>
      <c r="E59" s="102">
        <f>15.96</f>
        <v>15.96</v>
      </c>
      <c r="F59" s="104">
        <v>1</v>
      </c>
      <c r="G59" s="105">
        <f>ROUND((E59*F59),2)</f>
        <v>15.96</v>
      </c>
      <c r="H59" s="35"/>
    </row>
    <row r="60" spans="1:8" s="34" customFormat="1" x14ac:dyDescent="0.2">
      <c r="A60" s="36" t="s">
        <v>50</v>
      </c>
      <c r="B60" s="808" t="s">
        <v>253</v>
      </c>
      <c r="C60" s="809"/>
      <c r="D60" s="809"/>
      <c r="E60" s="102">
        <v>300</v>
      </c>
      <c r="F60" s="103">
        <v>1</v>
      </c>
      <c r="G60" s="91">
        <f>ROUND((E60*F60),2)</f>
        <v>300</v>
      </c>
      <c r="H60" s="35"/>
    </row>
    <row r="61" spans="1:8" s="34" customFormat="1" x14ac:dyDescent="0.2">
      <c r="A61" s="89" t="s">
        <v>151</v>
      </c>
      <c r="B61" s="808" t="s">
        <v>152</v>
      </c>
      <c r="C61" s="809"/>
      <c r="D61" s="809"/>
      <c r="E61" s="102">
        <v>0</v>
      </c>
      <c r="F61" s="103">
        <v>1</v>
      </c>
      <c r="G61" s="106">
        <f>ROUND((E61*F61),2)</f>
        <v>0</v>
      </c>
      <c r="H61" s="35"/>
    </row>
    <row r="62" spans="1:8" s="34" customFormat="1" x14ac:dyDescent="0.2">
      <c r="A62" s="36" t="s">
        <v>431</v>
      </c>
      <c r="B62" s="812" t="s">
        <v>152</v>
      </c>
      <c r="C62" s="813"/>
      <c r="D62" s="813"/>
      <c r="E62" s="107">
        <v>0</v>
      </c>
      <c r="F62" s="103">
        <v>1</v>
      </c>
      <c r="G62" s="91">
        <v>0</v>
      </c>
      <c r="H62" s="35"/>
    </row>
    <row r="63" spans="1:8" x14ac:dyDescent="0.2">
      <c r="A63" s="758" t="s">
        <v>60</v>
      </c>
      <c r="B63" s="759"/>
      <c r="C63" s="759"/>
      <c r="D63" s="759"/>
      <c r="E63" s="759"/>
      <c r="F63" s="760"/>
      <c r="G63" s="93">
        <f>SUM(G53:G62)</f>
        <v>904.47</v>
      </c>
      <c r="H63" s="4"/>
    </row>
    <row r="64" spans="1:8" x14ac:dyDescent="0.2">
      <c r="A64" s="770" t="s">
        <v>61</v>
      </c>
      <c r="B64" s="771"/>
      <c r="C64" s="771"/>
      <c r="D64" s="771"/>
      <c r="E64" s="771"/>
      <c r="F64" s="772"/>
      <c r="G64" s="773"/>
      <c r="H64" s="4"/>
    </row>
    <row r="65" spans="1:8" x14ac:dyDescent="0.2">
      <c r="A65" s="15" t="s">
        <v>62</v>
      </c>
      <c r="B65" s="774" t="s">
        <v>63</v>
      </c>
      <c r="C65" s="775"/>
      <c r="D65" s="775"/>
      <c r="E65" s="775"/>
      <c r="F65" s="16">
        <f>F41</f>
        <v>0.27339999999999998</v>
      </c>
      <c r="G65" s="17">
        <f>G41</f>
        <v>780.44</v>
      </c>
      <c r="H65" s="4"/>
    </row>
    <row r="66" spans="1:8" x14ac:dyDescent="0.2">
      <c r="A66" s="108" t="s">
        <v>64</v>
      </c>
      <c r="B66" s="749" t="s">
        <v>128</v>
      </c>
      <c r="C66" s="750"/>
      <c r="D66" s="750"/>
      <c r="E66" s="750"/>
      <c r="F66" s="18">
        <f>F51</f>
        <v>0.33800000000000002</v>
      </c>
      <c r="G66" s="109">
        <f>G51</f>
        <v>964.85</v>
      </c>
      <c r="H66" s="4"/>
    </row>
    <row r="67" spans="1:8" x14ac:dyDescent="0.2">
      <c r="A67" s="108" t="s">
        <v>65</v>
      </c>
      <c r="B67" s="749" t="s">
        <v>66</v>
      </c>
      <c r="C67" s="750"/>
      <c r="D67" s="750"/>
      <c r="E67" s="750"/>
      <c r="F67" s="751"/>
      <c r="G67" s="109">
        <f>G63</f>
        <v>904.47</v>
      </c>
      <c r="H67" s="4"/>
    </row>
    <row r="68" spans="1:8" x14ac:dyDescent="0.2">
      <c r="A68" s="758" t="s">
        <v>67</v>
      </c>
      <c r="B68" s="759"/>
      <c r="C68" s="759"/>
      <c r="D68" s="759"/>
      <c r="E68" s="759"/>
      <c r="F68" s="760"/>
      <c r="G68" s="93">
        <f>SUM(G65:G67)</f>
        <v>2649.76</v>
      </c>
      <c r="H68" s="4"/>
    </row>
    <row r="69" spans="1:8" x14ac:dyDescent="0.2">
      <c r="A69" s="770" t="s">
        <v>68</v>
      </c>
      <c r="B69" s="771"/>
      <c r="C69" s="771"/>
      <c r="D69" s="771"/>
      <c r="E69" s="771"/>
      <c r="F69" s="772"/>
      <c r="G69" s="773"/>
      <c r="H69" s="4"/>
    </row>
    <row r="70" spans="1:8" s="21" customFormat="1" x14ac:dyDescent="0.2">
      <c r="A70" s="87">
        <v>3</v>
      </c>
      <c r="B70" s="19" t="s">
        <v>69</v>
      </c>
      <c r="C70" s="19"/>
      <c r="D70" s="19"/>
      <c r="E70" s="19"/>
      <c r="F70" s="19"/>
      <c r="G70" s="20"/>
      <c r="H70" s="4"/>
    </row>
    <row r="71" spans="1:8" x14ac:dyDescent="0.2">
      <c r="A71" s="11" t="s">
        <v>28</v>
      </c>
      <c r="B71" s="764" t="s">
        <v>70</v>
      </c>
      <c r="C71" s="765"/>
      <c r="D71" s="765"/>
      <c r="E71" s="765"/>
      <c r="F71" s="589">
        <f>ROUND((1/12)*0.05,4)*0</f>
        <v>0</v>
      </c>
      <c r="G71" s="22">
        <f t="shared" ref="G71:G76" si="1">ROUND(G$34*F71,2)</f>
        <v>0</v>
      </c>
      <c r="H71" s="4"/>
    </row>
    <row r="72" spans="1:8" x14ac:dyDescent="0.2">
      <c r="A72" s="5" t="s">
        <v>29</v>
      </c>
      <c r="B72" s="741" t="s">
        <v>71</v>
      </c>
      <c r="C72" s="742"/>
      <c r="D72" s="742"/>
      <c r="E72" s="742"/>
      <c r="F72" s="110">
        <f>ROUND((F71*F50),4)</f>
        <v>0</v>
      </c>
      <c r="G72" s="101">
        <f t="shared" si="1"/>
        <v>0</v>
      </c>
      <c r="H72" s="4"/>
    </row>
    <row r="73" spans="1:8" x14ac:dyDescent="0.2">
      <c r="A73" s="5" t="s">
        <v>30</v>
      </c>
      <c r="B73" s="741" t="s">
        <v>134</v>
      </c>
      <c r="C73" s="742"/>
      <c r="D73" s="742"/>
      <c r="E73" s="742"/>
      <c r="F73" s="591">
        <f>ROUND((0.08*0.4*0.9)*(1+0.09+0.09+0.3),2)*0</f>
        <v>0</v>
      </c>
      <c r="G73" s="101">
        <f t="shared" si="1"/>
        <v>0</v>
      </c>
      <c r="H73" s="4"/>
    </row>
    <row r="74" spans="1:8" x14ac:dyDescent="0.2">
      <c r="A74" s="5" t="s">
        <v>31</v>
      </c>
      <c r="B74" s="741" t="s">
        <v>72</v>
      </c>
      <c r="C74" s="742"/>
      <c r="D74" s="742"/>
      <c r="E74" s="742"/>
      <c r="F74" s="591">
        <f>ROUND(100%/30*7/12*100%,4)*0</f>
        <v>0</v>
      </c>
      <c r="G74" s="101">
        <f t="shared" si="1"/>
        <v>0</v>
      </c>
      <c r="H74" s="4"/>
    </row>
    <row r="75" spans="1:8" s="3" customFormat="1" x14ac:dyDescent="0.2">
      <c r="A75" s="5" t="s">
        <v>32</v>
      </c>
      <c r="B75" s="741" t="s">
        <v>119</v>
      </c>
      <c r="C75" s="742"/>
      <c r="D75" s="742"/>
      <c r="E75" s="742"/>
      <c r="F75" s="110">
        <f>ROUND(F74*F51,4)</f>
        <v>0</v>
      </c>
      <c r="G75" s="101">
        <f t="shared" si="1"/>
        <v>0</v>
      </c>
      <c r="H75" s="4"/>
    </row>
    <row r="76" spans="1:8" x14ac:dyDescent="0.2">
      <c r="A76" s="5" t="s">
        <v>34</v>
      </c>
      <c r="B76" s="806" t="s">
        <v>135</v>
      </c>
      <c r="C76" s="807"/>
      <c r="D76" s="807"/>
      <c r="E76" s="807"/>
      <c r="F76" s="111">
        <v>0</v>
      </c>
      <c r="G76" s="112">
        <f t="shared" si="1"/>
        <v>0</v>
      </c>
      <c r="H76" s="4"/>
    </row>
    <row r="77" spans="1:8" x14ac:dyDescent="0.2">
      <c r="A77" s="758" t="s">
        <v>73</v>
      </c>
      <c r="B77" s="759"/>
      <c r="C77" s="759"/>
      <c r="D77" s="759"/>
      <c r="E77" s="759"/>
      <c r="F77" s="23">
        <f>SUM(F71:F76)</f>
        <v>0</v>
      </c>
      <c r="G77" s="113">
        <f>SUM(G71:G76)</f>
        <v>0</v>
      </c>
      <c r="H77" s="4">
        <f>ROUND(G34*F77,2)</f>
        <v>0</v>
      </c>
    </row>
    <row r="78" spans="1:8" x14ac:dyDescent="0.2">
      <c r="A78" s="770" t="s">
        <v>74</v>
      </c>
      <c r="B78" s="771"/>
      <c r="C78" s="771"/>
      <c r="D78" s="771"/>
      <c r="E78" s="771"/>
      <c r="F78" s="772"/>
      <c r="G78" s="773"/>
      <c r="H78" s="4"/>
    </row>
    <row r="79" spans="1:8" s="21" customFormat="1" x14ac:dyDescent="0.2">
      <c r="A79" s="779" t="s">
        <v>120</v>
      </c>
      <c r="B79" s="780"/>
      <c r="C79" s="780"/>
      <c r="D79" s="780"/>
      <c r="E79" s="780"/>
      <c r="F79" s="780"/>
      <c r="G79" s="781"/>
      <c r="H79" s="4"/>
    </row>
    <row r="80" spans="1:8" x14ac:dyDescent="0.2">
      <c r="A80" s="42" t="s">
        <v>28</v>
      </c>
      <c r="B80" s="782" t="s">
        <v>181</v>
      </c>
      <c r="C80" s="783"/>
      <c r="D80" s="783"/>
      <c r="E80" s="783"/>
      <c r="F80" s="43">
        <v>0</v>
      </c>
      <c r="G80" s="22">
        <f t="shared" ref="G80:G85" si="2">ROUND(G$34*F80,2)</f>
        <v>0</v>
      </c>
      <c r="H80" s="4"/>
    </row>
    <row r="81" spans="1:8" x14ac:dyDescent="0.2">
      <c r="A81" s="36" t="s">
        <v>29</v>
      </c>
      <c r="B81" s="802" t="s">
        <v>121</v>
      </c>
      <c r="C81" s="803"/>
      <c r="D81" s="803"/>
      <c r="E81" s="803"/>
      <c r="F81" s="593">
        <f>ROUND(((1/30)/12)*1,4)*0</f>
        <v>0</v>
      </c>
      <c r="G81" s="101">
        <f t="shared" si="2"/>
        <v>0</v>
      </c>
      <c r="H81" s="4"/>
    </row>
    <row r="82" spans="1:8" x14ac:dyDescent="0.2">
      <c r="A82" s="36" t="s">
        <v>30</v>
      </c>
      <c r="B82" s="802" t="s">
        <v>122</v>
      </c>
      <c r="C82" s="803"/>
      <c r="D82" s="803"/>
      <c r="E82" s="803"/>
      <c r="F82" s="593">
        <f>ROUND((((1/30)/12)*5)*0.02,4)*0</f>
        <v>0</v>
      </c>
      <c r="G82" s="101">
        <f t="shared" si="2"/>
        <v>0</v>
      </c>
      <c r="H82" s="4"/>
    </row>
    <row r="83" spans="1:8" x14ac:dyDescent="0.2">
      <c r="A83" s="36" t="s">
        <v>31</v>
      </c>
      <c r="B83" s="802" t="s">
        <v>123</v>
      </c>
      <c r="C83" s="803"/>
      <c r="D83" s="803"/>
      <c r="E83" s="803"/>
      <c r="F83" s="593">
        <f>ROUND((((1/30)/12)*15)*0.05,4)*0</f>
        <v>0</v>
      </c>
      <c r="G83" s="101">
        <f t="shared" si="2"/>
        <v>0</v>
      </c>
      <c r="H83" s="4"/>
    </row>
    <row r="84" spans="1:8" x14ac:dyDescent="0.2">
      <c r="A84" s="36" t="s">
        <v>32</v>
      </c>
      <c r="B84" s="802" t="s">
        <v>182</v>
      </c>
      <c r="C84" s="803"/>
      <c r="D84" s="803"/>
      <c r="E84" s="803"/>
      <c r="F84" s="94">
        <v>0</v>
      </c>
      <c r="G84" s="101">
        <f t="shared" si="2"/>
        <v>0</v>
      </c>
      <c r="H84" s="4"/>
    </row>
    <row r="85" spans="1:8" x14ac:dyDescent="0.2">
      <c r="A85" s="36" t="s">
        <v>34</v>
      </c>
      <c r="B85" s="804" t="s">
        <v>124</v>
      </c>
      <c r="C85" s="805"/>
      <c r="D85" s="805"/>
      <c r="E85" s="805"/>
      <c r="F85" s="595">
        <f>ROUND((((1/30)/12)*5)*0.5,4)*0</f>
        <v>0</v>
      </c>
      <c r="G85" s="112">
        <f t="shared" si="2"/>
        <v>0</v>
      </c>
      <c r="H85" s="4"/>
    </row>
    <row r="86" spans="1:8" x14ac:dyDescent="0.2">
      <c r="A86" s="784" t="s">
        <v>75</v>
      </c>
      <c r="B86" s="785"/>
      <c r="C86" s="785"/>
      <c r="D86" s="785"/>
      <c r="E86" s="785"/>
      <c r="F86" s="41">
        <f>SUM(F80:F85)</f>
        <v>0</v>
      </c>
      <c r="G86" s="100">
        <f>SUM(G80:G85)</f>
        <v>0</v>
      </c>
      <c r="H86" s="4">
        <f>ROUND(G34*F86,2)</f>
        <v>0</v>
      </c>
    </row>
    <row r="87" spans="1:8" s="21" customFormat="1" x14ac:dyDescent="0.2">
      <c r="A87" s="799" t="s">
        <v>76</v>
      </c>
      <c r="B87" s="800"/>
      <c r="C87" s="800"/>
      <c r="D87" s="800"/>
      <c r="E87" s="800"/>
      <c r="F87" s="800"/>
      <c r="G87" s="801"/>
      <c r="H87" s="4"/>
    </row>
    <row r="88" spans="1:8" x14ac:dyDescent="0.2">
      <c r="A88" s="11" t="s">
        <v>28</v>
      </c>
      <c r="B88" s="764" t="s">
        <v>77</v>
      </c>
      <c r="C88" s="765"/>
      <c r="D88" s="765"/>
      <c r="E88" s="765"/>
      <c r="F88" s="597">
        <f xml:space="preserve"> ROUND((((ROUND((1/11)+(1/11)/3, 3))*4)/12)*1%,4)*0</f>
        <v>0</v>
      </c>
      <c r="G88" s="22">
        <f>ROUND(G$34*F88,2)</f>
        <v>0</v>
      </c>
      <c r="H88" s="4"/>
    </row>
    <row r="89" spans="1:8" x14ac:dyDescent="0.2">
      <c r="A89" s="5" t="s">
        <v>29</v>
      </c>
      <c r="B89" s="741" t="s">
        <v>78</v>
      </c>
      <c r="C89" s="742"/>
      <c r="D89" s="742"/>
      <c r="E89" s="742"/>
      <c r="F89" s="94">
        <f>ROUND(F88*F51,4)</f>
        <v>0</v>
      </c>
      <c r="G89" s="101">
        <f>ROUND(G$34*F89,2)</f>
        <v>0</v>
      </c>
      <c r="H89" s="4"/>
    </row>
    <row r="90" spans="1:8" x14ac:dyDescent="0.2">
      <c r="A90" s="5" t="s">
        <v>30</v>
      </c>
      <c r="B90" s="741" t="s">
        <v>79</v>
      </c>
      <c r="C90" s="742"/>
      <c r="D90" s="742"/>
      <c r="E90" s="742"/>
      <c r="F90" s="593">
        <f>ROUND(ROUND(ROUND(((1+1/12)*4)/12,4)*1%,4)*F51,4)*0</f>
        <v>0</v>
      </c>
      <c r="G90" s="101">
        <f>ROUND(G$34*F90,2)</f>
        <v>0</v>
      </c>
      <c r="H90" s="4"/>
    </row>
    <row r="91" spans="1:8" x14ac:dyDescent="0.2">
      <c r="A91" s="5" t="s">
        <v>31</v>
      </c>
      <c r="B91" s="741" t="s">
        <v>59</v>
      </c>
      <c r="C91" s="742"/>
      <c r="D91" s="742"/>
      <c r="E91" s="742"/>
      <c r="F91" s="94">
        <v>0</v>
      </c>
      <c r="G91" s="112">
        <f>ROUND(G$34*F91,2)</f>
        <v>0</v>
      </c>
      <c r="H91" s="4"/>
    </row>
    <row r="92" spans="1:8" x14ac:dyDescent="0.2">
      <c r="A92" s="793" t="s">
        <v>80</v>
      </c>
      <c r="B92" s="760"/>
      <c r="C92" s="760"/>
      <c r="D92" s="760"/>
      <c r="E92" s="760"/>
      <c r="F92" s="10">
        <f>SUM(F88:F91)</f>
        <v>0</v>
      </c>
      <c r="G92" s="114">
        <f>SUM(G88:G91)</f>
        <v>0</v>
      </c>
      <c r="H92" s="4">
        <f>ROUND(G34*F92,2)</f>
        <v>0</v>
      </c>
    </row>
    <row r="93" spans="1:8" s="21" customFormat="1" x14ac:dyDescent="0.2">
      <c r="A93" s="794" t="s">
        <v>81</v>
      </c>
      <c r="B93" s="795"/>
      <c r="C93" s="795"/>
      <c r="D93" s="795"/>
      <c r="E93" s="795"/>
      <c r="F93" s="795"/>
      <c r="G93" s="796"/>
      <c r="H93" s="4"/>
    </row>
    <row r="94" spans="1:8" x14ac:dyDescent="0.2">
      <c r="A94" s="561" t="s">
        <v>28</v>
      </c>
      <c r="B94" s="797" t="s">
        <v>82</v>
      </c>
      <c r="C94" s="798"/>
      <c r="D94" s="798"/>
      <c r="E94" s="798"/>
      <c r="F94" s="562">
        <f>((1/220)*22)*0</f>
        <v>0</v>
      </c>
      <c r="G94" s="563">
        <f>ROUND(G$34*F94,2)</f>
        <v>0</v>
      </c>
      <c r="H94" s="4"/>
    </row>
    <row r="95" spans="1:8" x14ac:dyDescent="0.2">
      <c r="A95" s="561" t="s">
        <v>29</v>
      </c>
      <c r="B95" s="743" t="s">
        <v>191</v>
      </c>
      <c r="C95" s="744"/>
      <c r="D95" s="744"/>
      <c r="E95" s="745"/>
      <c r="F95" s="564">
        <f>F94*F51</f>
        <v>0</v>
      </c>
      <c r="G95" s="563">
        <f>ROUND(G$34*F95,2)</f>
        <v>0</v>
      </c>
      <c r="H95" s="4"/>
    </row>
    <row r="96" spans="1:8" x14ac:dyDescent="0.2">
      <c r="A96" s="777" t="s">
        <v>83</v>
      </c>
      <c r="B96" s="778"/>
      <c r="C96" s="778"/>
      <c r="D96" s="778"/>
      <c r="E96" s="778"/>
      <c r="F96" s="565">
        <f>SUM(F94:F95)</f>
        <v>0</v>
      </c>
      <c r="G96" s="566">
        <f>SUM(G94:G95)</f>
        <v>0</v>
      </c>
      <c r="H96" s="4">
        <f>ROUND(G34*F96,2)</f>
        <v>0</v>
      </c>
    </row>
    <row r="97" spans="1:8" s="45" customFormat="1" x14ac:dyDescent="0.2">
      <c r="A97" s="779" t="s">
        <v>125</v>
      </c>
      <c r="B97" s="780"/>
      <c r="C97" s="780"/>
      <c r="D97" s="780"/>
      <c r="E97" s="780"/>
      <c r="F97" s="780"/>
      <c r="G97" s="781"/>
      <c r="H97" s="35"/>
    </row>
    <row r="98" spans="1:8" s="34" customFormat="1" x14ac:dyDescent="0.2">
      <c r="A98" s="42" t="s">
        <v>28</v>
      </c>
      <c r="B98" s="782" t="s">
        <v>126</v>
      </c>
      <c r="C98" s="783"/>
      <c r="D98" s="783"/>
      <c r="E98" s="783"/>
      <c r="F98" s="589">
        <f>((((8*13)/12)/220)+((((8*13)/12)/220)*100%))*0</f>
        <v>0</v>
      </c>
      <c r="G98" s="22">
        <f>ROUND(G$34*F98,2)</f>
        <v>0</v>
      </c>
      <c r="H98" s="35"/>
    </row>
    <row r="99" spans="1:8" s="34" customFormat="1" x14ac:dyDescent="0.2">
      <c r="A99" s="11" t="s">
        <v>29</v>
      </c>
      <c r="B99" s="746" t="s">
        <v>191</v>
      </c>
      <c r="C99" s="747"/>
      <c r="D99" s="747"/>
      <c r="E99" s="748"/>
      <c r="F99" s="78">
        <f>F98*F51</f>
        <v>0</v>
      </c>
      <c r="G99" s="22">
        <f>ROUND(G$34*F99,2)</f>
        <v>0</v>
      </c>
      <c r="H99" s="35"/>
    </row>
    <row r="100" spans="1:8" s="34" customFormat="1" x14ac:dyDescent="0.2">
      <c r="A100" s="784" t="s">
        <v>127</v>
      </c>
      <c r="B100" s="785"/>
      <c r="C100" s="785"/>
      <c r="D100" s="785"/>
      <c r="E100" s="785"/>
      <c r="F100" s="41">
        <f>SUM(F98:F99)</f>
        <v>0</v>
      </c>
      <c r="G100" s="100">
        <f>SUM(G98:G99)</f>
        <v>0</v>
      </c>
      <c r="H100" s="35">
        <f>ROUND(G44*F100,2)</f>
        <v>0</v>
      </c>
    </row>
    <row r="101" spans="1:8" x14ac:dyDescent="0.2">
      <c r="A101" s="770" t="s">
        <v>84</v>
      </c>
      <c r="B101" s="771"/>
      <c r="C101" s="771"/>
      <c r="D101" s="771"/>
      <c r="E101" s="771"/>
      <c r="F101" s="772"/>
      <c r="G101" s="773"/>
      <c r="H101" s="4"/>
    </row>
    <row r="102" spans="1:8" x14ac:dyDescent="0.2">
      <c r="A102" s="15" t="s">
        <v>85</v>
      </c>
      <c r="B102" s="774" t="s">
        <v>129</v>
      </c>
      <c r="C102" s="775"/>
      <c r="D102" s="775"/>
      <c r="E102" s="775"/>
      <c r="F102" s="16">
        <f>F86</f>
        <v>0</v>
      </c>
      <c r="G102" s="17">
        <f>G86</f>
        <v>0</v>
      </c>
      <c r="H102" s="4"/>
    </row>
    <row r="103" spans="1:8" x14ac:dyDescent="0.2">
      <c r="A103" s="108" t="s">
        <v>86</v>
      </c>
      <c r="B103" s="749" t="s">
        <v>87</v>
      </c>
      <c r="C103" s="750"/>
      <c r="D103" s="750"/>
      <c r="E103" s="750"/>
      <c r="F103" s="18">
        <f>F92</f>
        <v>0</v>
      </c>
      <c r="G103" s="109">
        <f>G92</f>
        <v>0</v>
      </c>
      <c r="H103" s="4"/>
    </row>
    <row r="104" spans="1:8" x14ac:dyDescent="0.2">
      <c r="A104" s="108" t="s">
        <v>88</v>
      </c>
      <c r="B104" s="749" t="s">
        <v>89</v>
      </c>
      <c r="C104" s="750"/>
      <c r="D104" s="750"/>
      <c r="E104" s="750"/>
      <c r="F104" s="18">
        <f>F96</f>
        <v>0</v>
      </c>
      <c r="G104" s="109">
        <f>G96</f>
        <v>0</v>
      </c>
      <c r="H104" s="4"/>
    </row>
    <row r="105" spans="1:8" x14ac:dyDescent="0.2">
      <c r="A105" s="108" t="s">
        <v>131</v>
      </c>
      <c r="B105" s="755" t="s">
        <v>130</v>
      </c>
      <c r="C105" s="756"/>
      <c r="D105" s="756"/>
      <c r="E105" s="756"/>
      <c r="F105" s="18">
        <f>F100</f>
        <v>0</v>
      </c>
      <c r="G105" s="109">
        <f>G100</f>
        <v>0</v>
      </c>
      <c r="H105" s="4"/>
    </row>
    <row r="106" spans="1:8" x14ac:dyDescent="0.2">
      <c r="A106" s="758" t="s">
        <v>90</v>
      </c>
      <c r="B106" s="759"/>
      <c r="C106" s="759"/>
      <c r="D106" s="759"/>
      <c r="E106" s="759"/>
      <c r="F106" s="760"/>
      <c r="G106" s="93">
        <f>SUM(G102:G105)</f>
        <v>0</v>
      </c>
      <c r="H106" s="4"/>
    </row>
    <row r="107" spans="1:8" x14ac:dyDescent="0.2">
      <c r="A107" s="770" t="s">
        <v>91</v>
      </c>
      <c r="B107" s="771"/>
      <c r="C107" s="771"/>
      <c r="D107" s="771"/>
      <c r="E107" s="771"/>
      <c r="F107" s="772"/>
      <c r="G107" s="773"/>
      <c r="H107" s="4"/>
    </row>
    <row r="108" spans="1:8" x14ac:dyDescent="0.2">
      <c r="A108" s="11" t="s">
        <v>28</v>
      </c>
      <c r="B108" s="788" t="str">
        <f>'Uniformes e EPI''s'!A5</f>
        <v>UNIFORMES</v>
      </c>
      <c r="C108" s="789"/>
      <c r="D108" s="789"/>
      <c r="E108" s="13">
        <f>'Uniformes e EPI''s'!I17</f>
        <v>0</v>
      </c>
      <c r="F108" s="24">
        <v>1</v>
      </c>
      <c r="G108" s="91">
        <f>ROUND(SUM(C108:E108),2)*F108</f>
        <v>0</v>
      </c>
      <c r="H108" s="4"/>
    </row>
    <row r="109" spans="1:8" s="34" customFormat="1" x14ac:dyDescent="0.2">
      <c r="A109" s="36" t="s">
        <v>29</v>
      </c>
      <c r="B109" s="790" t="str">
        <f>'Uniformes e EPI''s'!A19</f>
        <v>EPI's</v>
      </c>
      <c r="C109" s="742"/>
      <c r="D109" s="742"/>
      <c r="E109" s="44">
        <f>'Uniformes e EPI''s'!H39</f>
        <v>0</v>
      </c>
      <c r="F109" s="46">
        <v>1</v>
      </c>
      <c r="G109" s="91">
        <f>ROUND((E109*F109),2)</f>
        <v>0</v>
      </c>
      <c r="H109" s="35"/>
    </row>
    <row r="110" spans="1:8" s="34" customFormat="1" x14ac:dyDescent="0.2">
      <c r="A110" s="36" t="s">
        <v>30</v>
      </c>
      <c r="B110" s="741" t="s">
        <v>59</v>
      </c>
      <c r="C110" s="742"/>
      <c r="D110" s="742"/>
      <c r="E110" s="44">
        <v>0</v>
      </c>
      <c r="F110" s="47">
        <v>1</v>
      </c>
      <c r="G110" s="91">
        <f>ROUND((E110*F110),2)</f>
        <v>0</v>
      </c>
      <c r="H110" s="35"/>
    </row>
    <row r="111" spans="1:8" s="34" customFormat="1" x14ac:dyDescent="0.2">
      <c r="A111" s="156" t="s">
        <v>31</v>
      </c>
      <c r="B111" s="741" t="s">
        <v>59</v>
      </c>
      <c r="C111" s="742"/>
      <c r="D111" s="742"/>
      <c r="E111" s="44">
        <v>0</v>
      </c>
      <c r="F111" s="47">
        <v>1</v>
      </c>
      <c r="G111" s="91">
        <f>ROUND((E111*F111),2)</f>
        <v>0</v>
      </c>
      <c r="H111" s="35"/>
    </row>
    <row r="112" spans="1:8" s="34" customFormat="1" x14ac:dyDescent="0.2">
      <c r="A112" s="36" t="s">
        <v>32</v>
      </c>
      <c r="B112" s="741" t="s">
        <v>59</v>
      </c>
      <c r="C112" s="742"/>
      <c r="D112" s="742"/>
      <c r="E112" s="44">
        <v>0</v>
      </c>
      <c r="F112" s="47">
        <v>1</v>
      </c>
      <c r="G112" s="91">
        <f>ROUND((E112*F112),2)</f>
        <v>0</v>
      </c>
      <c r="H112" s="35"/>
    </row>
    <row r="113" spans="1:8" s="34" customFormat="1" x14ac:dyDescent="0.2">
      <c r="A113" s="36" t="s">
        <v>34</v>
      </c>
      <c r="B113" s="741" t="s">
        <v>59</v>
      </c>
      <c r="C113" s="742"/>
      <c r="D113" s="742"/>
      <c r="E113" s="44">
        <v>0</v>
      </c>
      <c r="F113" s="47">
        <v>1</v>
      </c>
      <c r="G113" s="91">
        <f>ROUND((E113*F113)/12,2)</f>
        <v>0</v>
      </c>
      <c r="H113" s="35"/>
    </row>
    <row r="114" spans="1:8" s="34" customFormat="1" x14ac:dyDescent="0.2">
      <c r="A114" s="156" t="s">
        <v>48</v>
      </c>
      <c r="B114" s="741" t="s">
        <v>59</v>
      </c>
      <c r="C114" s="742"/>
      <c r="D114" s="742"/>
      <c r="E114" s="44">
        <v>0</v>
      </c>
      <c r="F114" s="47">
        <v>1</v>
      </c>
      <c r="G114" s="91">
        <f>ROUND((E114*F114)/12,2)</f>
        <v>0</v>
      </c>
      <c r="H114" s="35"/>
    </row>
    <row r="115" spans="1:8" s="34" customFormat="1" x14ac:dyDescent="0.2">
      <c r="A115" s="36" t="s">
        <v>50</v>
      </c>
      <c r="B115" s="791" t="s">
        <v>59</v>
      </c>
      <c r="C115" s="792"/>
      <c r="D115" s="792"/>
      <c r="E115" s="44">
        <v>0</v>
      </c>
      <c r="F115" s="47">
        <v>1</v>
      </c>
      <c r="G115" s="91">
        <f>ROUND((E115*F115)/12,2)</f>
        <v>0</v>
      </c>
      <c r="H115" s="35"/>
    </row>
    <row r="116" spans="1:8" s="34" customFormat="1" x14ac:dyDescent="0.2">
      <c r="A116" s="786" t="s">
        <v>92</v>
      </c>
      <c r="B116" s="787"/>
      <c r="C116" s="787"/>
      <c r="D116" s="787"/>
      <c r="E116" s="787"/>
      <c r="F116" s="785"/>
      <c r="G116" s="93">
        <f>SUM(G108:G115)</f>
        <v>0</v>
      </c>
      <c r="H116" s="35"/>
    </row>
    <row r="117" spans="1:8" x14ac:dyDescent="0.2">
      <c r="A117" s="770" t="s">
        <v>93</v>
      </c>
      <c r="B117" s="771"/>
      <c r="C117" s="771"/>
      <c r="D117" s="771"/>
      <c r="E117" s="771"/>
      <c r="F117" s="772"/>
      <c r="G117" s="773"/>
      <c r="H117" s="4"/>
    </row>
    <row r="118" spans="1:8" s="21" customFormat="1" x14ac:dyDescent="0.2">
      <c r="A118" s="87">
        <v>3</v>
      </c>
      <c r="B118" s="19" t="s">
        <v>94</v>
      </c>
      <c r="C118" s="19"/>
      <c r="D118" s="19"/>
      <c r="E118" s="19"/>
      <c r="F118" s="19"/>
      <c r="G118" s="20"/>
      <c r="H118" s="4"/>
    </row>
    <row r="119" spans="1:8" x14ac:dyDescent="0.2">
      <c r="A119" s="11" t="s">
        <v>28</v>
      </c>
      <c r="B119" s="764" t="s">
        <v>95</v>
      </c>
      <c r="C119" s="765"/>
      <c r="D119" s="765"/>
      <c r="E119" s="765"/>
      <c r="F119" s="599">
        <v>0</v>
      </c>
      <c r="G119" s="12">
        <f>ROUND(G135*F119,2)</f>
        <v>0</v>
      </c>
      <c r="H119" s="4"/>
    </row>
    <row r="120" spans="1:8" x14ac:dyDescent="0.2">
      <c r="A120" s="5" t="s">
        <v>29</v>
      </c>
      <c r="B120" s="741" t="s">
        <v>96</v>
      </c>
      <c r="C120" s="742"/>
      <c r="D120" s="742"/>
      <c r="E120" s="742"/>
      <c r="F120" s="600">
        <v>0</v>
      </c>
      <c r="G120" s="95">
        <f>ROUND(((G135+G119)*F120),2)</f>
        <v>0</v>
      </c>
      <c r="H120" s="4"/>
    </row>
    <row r="121" spans="1:8" x14ac:dyDescent="0.2">
      <c r="A121" s="5" t="s">
        <v>30</v>
      </c>
      <c r="B121" s="766" t="s">
        <v>97</v>
      </c>
      <c r="C121" s="767"/>
      <c r="D121" s="767"/>
      <c r="E121" s="767"/>
      <c r="F121" s="110"/>
      <c r="G121" s="95"/>
      <c r="H121" s="4"/>
    </row>
    <row r="122" spans="1:8" x14ac:dyDescent="0.2">
      <c r="A122" s="5" t="s">
        <v>98</v>
      </c>
      <c r="B122" s="741" t="s">
        <v>99</v>
      </c>
      <c r="C122" s="742"/>
      <c r="D122" s="742"/>
      <c r="E122" s="742"/>
      <c r="F122" s="600">
        <v>0</v>
      </c>
      <c r="G122" s="95">
        <f ca="1">ROUND(G$139*F122,2)</f>
        <v>0</v>
      </c>
      <c r="H122" s="4"/>
    </row>
    <row r="123" spans="1:8" s="3" customFormat="1" x14ac:dyDescent="0.2">
      <c r="A123" s="5" t="s">
        <v>100</v>
      </c>
      <c r="B123" s="741" t="s">
        <v>101</v>
      </c>
      <c r="C123" s="742"/>
      <c r="D123" s="742"/>
      <c r="E123" s="742"/>
      <c r="F123" s="600">
        <v>0</v>
      </c>
      <c r="G123" s="95">
        <f ca="1">ROUND(G$139*F123,2)</f>
        <v>0</v>
      </c>
      <c r="H123" s="4"/>
    </row>
    <row r="124" spans="1:8" x14ac:dyDescent="0.2">
      <c r="A124" s="5" t="s">
        <v>102</v>
      </c>
      <c r="B124" s="741" t="s">
        <v>12</v>
      </c>
      <c r="C124" s="742"/>
      <c r="D124" s="742"/>
      <c r="E124" s="742"/>
      <c r="F124" s="110">
        <v>0.02</v>
      </c>
      <c r="G124" s="95">
        <f ca="1">ROUND(G$139*F124,2)</f>
        <v>112.33</v>
      </c>
      <c r="H124" s="4"/>
    </row>
    <row r="125" spans="1:8" x14ac:dyDescent="0.2">
      <c r="A125" s="499" t="s">
        <v>158</v>
      </c>
      <c r="B125" s="741" t="s">
        <v>59</v>
      </c>
      <c r="C125" s="742"/>
      <c r="D125" s="742"/>
      <c r="E125" s="742"/>
      <c r="F125" s="110">
        <v>0</v>
      </c>
      <c r="G125" s="95">
        <f ca="1">ROUND(G$139*F125,2)</f>
        <v>0</v>
      </c>
      <c r="H125" s="4"/>
    </row>
    <row r="126" spans="1:8" x14ac:dyDescent="0.2">
      <c r="A126" s="5" t="s">
        <v>486</v>
      </c>
      <c r="B126" s="741" t="s">
        <v>59</v>
      </c>
      <c r="C126" s="742"/>
      <c r="D126" s="742"/>
      <c r="E126" s="742"/>
      <c r="F126" s="110">
        <v>0</v>
      </c>
      <c r="G126" s="95">
        <f ca="1">ROUND(G$139*F126,2)</f>
        <v>0</v>
      </c>
      <c r="H126" s="4"/>
    </row>
    <row r="127" spans="1:8" x14ac:dyDescent="0.2">
      <c r="A127" s="5"/>
      <c r="B127" s="768" t="s">
        <v>103</v>
      </c>
      <c r="C127" s="769"/>
      <c r="D127" s="769"/>
      <c r="E127" s="769"/>
      <c r="F127" s="116">
        <f>SUM(F122:F126)</f>
        <v>0.02</v>
      </c>
      <c r="G127" s="117">
        <f ca="1">SUM(G122:G126)</f>
        <v>112.33</v>
      </c>
      <c r="H127" s="4">
        <f ca="1">ROUND(G139*F127,2)</f>
        <v>112.33</v>
      </c>
    </row>
    <row r="128" spans="1:8" x14ac:dyDescent="0.2">
      <c r="A128" s="758" t="s">
        <v>104</v>
      </c>
      <c r="B128" s="759"/>
      <c r="C128" s="759"/>
      <c r="D128" s="759"/>
      <c r="E128" s="759"/>
      <c r="F128" s="23">
        <f>SUM(F119,F120,F127)</f>
        <v>0.02</v>
      </c>
      <c r="G128" s="113">
        <f ca="1">SUM(G119:G126)</f>
        <v>112.33</v>
      </c>
      <c r="H128" s="4"/>
    </row>
    <row r="129" spans="1:8" x14ac:dyDescent="0.2">
      <c r="A129" s="770" t="s">
        <v>105</v>
      </c>
      <c r="B129" s="771"/>
      <c r="C129" s="771"/>
      <c r="D129" s="771"/>
      <c r="E129" s="771"/>
      <c r="F129" s="772"/>
      <c r="G129" s="773"/>
      <c r="H129" s="4"/>
    </row>
    <row r="130" spans="1:8" x14ac:dyDescent="0.2">
      <c r="A130" s="15" t="s">
        <v>28</v>
      </c>
      <c r="B130" s="774" t="s">
        <v>106</v>
      </c>
      <c r="C130" s="775"/>
      <c r="D130" s="775"/>
      <c r="E130" s="775"/>
      <c r="F130" s="776"/>
      <c r="G130" s="17">
        <f>G34</f>
        <v>2854.57</v>
      </c>
      <c r="H130" s="4"/>
    </row>
    <row r="131" spans="1:8" x14ac:dyDescent="0.2">
      <c r="A131" s="108" t="s">
        <v>29</v>
      </c>
      <c r="B131" s="749" t="s">
        <v>107</v>
      </c>
      <c r="C131" s="750"/>
      <c r="D131" s="750"/>
      <c r="E131" s="750"/>
      <c r="F131" s="751"/>
      <c r="G131" s="109">
        <f>G68</f>
        <v>2649.76</v>
      </c>
      <c r="H131" s="4"/>
    </row>
    <row r="132" spans="1:8" x14ac:dyDescent="0.2">
      <c r="A132" s="108" t="s">
        <v>30</v>
      </c>
      <c r="B132" s="749" t="s">
        <v>108</v>
      </c>
      <c r="C132" s="750"/>
      <c r="D132" s="750"/>
      <c r="E132" s="750"/>
      <c r="F132" s="751"/>
      <c r="G132" s="109">
        <f>G77</f>
        <v>0</v>
      </c>
      <c r="H132" s="4"/>
    </row>
    <row r="133" spans="1:8" x14ac:dyDescent="0.2">
      <c r="A133" s="108" t="s">
        <v>31</v>
      </c>
      <c r="B133" s="749" t="s">
        <v>109</v>
      </c>
      <c r="C133" s="750"/>
      <c r="D133" s="750"/>
      <c r="E133" s="750"/>
      <c r="F133" s="751"/>
      <c r="G133" s="109">
        <f>G106</f>
        <v>0</v>
      </c>
      <c r="H133" s="4"/>
    </row>
    <row r="134" spans="1:8" x14ac:dyDescent="0.2">
      <c r="A134" s="108" t="s">
        <v>32</v>
      </c>
      <c r="B134" s="749" t="s">
        <v>110</v>
      </c>
      <c r="C134" s="750"/>
      <c r="D134" s="750"/>
      <c r="E134" s="750"/>
      <c r="F134" s="751"/>
      <c r="G134" s="109">
        <f>G116</f>
        <v>0</v>
      </c>
      <c r="H134" s="4"/>
    </row>
    <row r="135" spans="1:8" x14ac:dyDescent="0.2">
      <c r="A135" s="108"/>
      <c r="B135" s="752" t="s">
        <v>111</v>
      </c>
      <c r="C135" s="753"/>
      <c r="D135" s="753"/>
      <c r="E135" s="753"/>
      <c r="F135" s="754"/>
      <c r="G135" s="109">
        <f>SUM(G130:G134)</f>
        <v>5504.33</v>
      </c>
      <c r="H135" s="4"/>
    </row>
    <row r="136" spans="1:8" x14ac:dyDescent="0.2">
      <c r="A136" s="108" t="s">
        <v>34</v>
      </c>
      <c r="B136" s="755" t="s">
        <v>112</v>
      </c>
      <c r="C136" s="756"/>
      <c r="D136" s="756"/>
      <c r="E136" s="756"/>
      <c r="F136" s="757"/>
      <c r="G136" s="109">
        <f ca="1">G128</f>
        <v>112.33</v>
      </c>
      <c r="H136" s="4"/>
    </row>
    <row r="137" spans="1:8" x14ac:dyDescent="0.2">
      <c r="A137" s="758" t="s">
        <v>113</v>
      </c>
      <c r="B137" s="759"/>
      <c r="C137" s="759"/>
      <c r="D137" s="759"/>
      <c r="E137" s="759"/>
      <c r="F137" s="760"/>
      <c r="G137" s="93">
        <f ca="1">SUM(G135:G136)</f>
        <v>5616.66</v>
      </c>
      <c r="H137" s="4">
        <f ca="1">SUM(G130:G136)-G135</f>
        <v>5616.66</v>
      </c>
    </row>
    <row r="138" spans="1:8" x14ac:dyDescent="0.2">
      <c r="A138" s="761" t="s">
        <v>13</v>
      </c>
      <c r="B138" s="762"/>
      <c r="C138" s="762"/>
      <c r="D138" s="762"/>
      <c r="E138" s="762"/>
      <c r="F138" s="762"/>
      <c r="G138" s="763"/>
      <c r="H138" s="4"/>
    </row>
    <row r="139" spans="1:8" x14ac:dyDescent="0.2">
      <c r="A139" s="25"/>
      <c r="B139" s="26" t="s">
        <v>114</v>
      </c>
      <c r="C139" s="26"/>
      <c r="D139" s="26"/>
      <c r="E139" s="26"/>
      <c r="F139" s="27"/>
      <c r="G139" s="606">
        <f ca="1">G137</f>
        <v>5616.66</v>
      </c>
      <c r="H139" s="4"/>
    </row>
    <row r="140" spans="1:8" x14ac:dyDescent="0.2">
      <c r="A140" s="118"/>
      <c r="B140" s="607" t="s">
        <v>115</v>
      </c>
      <c r="C140" s="607"/>
      <c r="D140" s="607"/>
      <c r="E140" s="607"/>
      <c r="F140" s="608">
        <f>F21</f>
        <v>1</v>
      </c>
      <c r="G140" s="609">
        <f ca="1">G139*F140</f>
        <v>5616.66</v>
      </c>
      <c r="H140" s="4"/>
    </row>
    <row r="141" spans="1:8" x14ac:dyDescent="0.2">
      <c r="F141" s="357"/>
    </row>
    <row r="148" spans="7:7" x14ac:dyDescent="0.2">
      <c r="G148" s="32"/>
    </row>
  </sheetData>
  <mergeCells count="149">
    <mergeCell ref="A12:E12"/>
    <mergeCell ref="F12:G12"/>
    <mergeCell ref="A7:E7"/>
    <mergeCell ref="F7:G7"/>
    <mergeCell ref="A8:G9"/>
    <mergeCell ref="A10:E10"/>
    <mergeCell ref="F10:G10"/>
    <mergeCell ref="A11:E11"/>
    <mergeCell ref="F11:G11"/>
    <mergeCell ref="A1:G1"/>
    <mergeCell ref="A2:C2"/>
    <mergeCell ref="F2:G2"/>
    <mergeCell ref="A3:G4"/>
    <mergeCell ref="A5:G5"/>
    <mergeCell ref="A6:E6"/>
    <mergeCell ref="F6:G6"/>
    <mergeCell ref="A16:E16"/>
    <mergeCell ref="F16:G16"/>
    <mergeCell ref="A17:E17"/>
    <mergeCell ref="F17:G17"/>
    <mergeCell ref="A18:E18"/>
    <mergeCell ref="F18:G18"/>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B33:E33"/>
    <mergeCell ref="A34:F34"/>
    <mergeCell ref="A35:G35"/>
    <mergeCell ref="A36:G36"/>
    <mergeCell ref="B37:E37"/>
    <mergeCell ref="B26:E26"/>
    <mergeCell ref="B27:E27"/>
    <mergeCell ref="B28:E28"/>
    <mergeCell ref="B29:E29"/>
    <mergeCell ref="B30:E30"/>
    <mergeCell ref="B31:E31"/>
    <mergeCell ref="B45:E45"/>
    <mergeCell ref="B46:E46"/>
    <mergeCell ref="B47:E47"/>
    <mergeCell ref="B48:E48"/>
    <mergeCell ref="B49:E49"/>
    <mergeCell ref="B50:E50"/>
    <mergeCell ref="B38:E38"/>
    <mergeCell ref="B39:E39"/>
    <mergeCell ref="A41:E41"/>
    <mergeCell ref="A42:G42"/>
    <mergeCell ref="B43:E43"/>
    <mergeCell ref="B44:E44"/>
    <mergeCell ref="B57:D57"/>
    <mergeCell ref="B58:D58"/>
    <mergeCell ref="B59:D59"/>
    <mergeCell ref="B60:D60"/>
    <mergeCell ref="B61:D61"/>
    <mergeCell ref="B62:D62"/>
    <mergeCell ref="A51:E51"/>
    <mergeCell ref="A52:G52"/>
    <mergeCell ref="B53:D53"/>
    <mergeCell ref="B54:D54"/>
    <mergeCell ref="B55:D55"/>
    <mergeCell ref="B56:D56"/>
    <mergeCell ref="A69:G69"/>
    <mergeCell ref="B71:E71"/>
    <mergeCell ref="B72:E72"/>
    <mergeCell ref="B73:E73"/>
    <mergeCell ref="B74:E74"/>
    <mergeCell ref="B75:E75"/>
    <mergeCell ref="A63:F63"/>
    <mergeCell ref="A64:G64"/>
    <mergeCell ref="B65:E65"/>
    <mergeCell ref="B66:E66"/>
    <mergeCell ref="B67:F67"/>
    <mergeCell ref="A68:F68"/>
    <mergeCell ref="B82:E82"/>
    <mergeCell ref="B83:E83"/>
    <mergeCell ref="B84:E84"/>
    <mergeCell ref="B85:E85"/>
    <mergeCell ref="A86:E86"/>
    <mergeCell ref="A87:G87"/>
    <mergeCell ref="B76:E76"/>
    <mergeCell ref="A77:E77"/>
    <mergeCell ref="A78:G78"/>
    <mergeCell ref="A79:G79"/>
    <mergeCell ref="B80:E80"/>
    <mergeCell ref="B81:E81"/>
    <mergeCell ref="B94:E94"/>
    <mergeCell ref="B95:E95"/>
    <mergeCell ref="A96:E96"/>
    <mergeCell ref="A97:G97"/>
    <mergeCell ref="B98:E98"/>
    <mergeCell ref="B99:E99"/>
    <mergeCell ref="B88:E88"/>
    <mergeCell ref="B89:E89"/>
    <mergeCell ref="B90:E90"/>
    <mergeCell ref="B91:E91"/>
    <mergeCell ref="A92:E92"/>
    <mergeCell ref="A93:G93"/>
    <mergeCell ref="A106:F106"/>
    <mergeCell ref="A107:G107"/>
    <mergeCell ref="B108:D108"/>
    <mergeCell ref="B109:D109"/>
    <mergeCell ref="B110:D110"/>
    <mergeCell ref="B111:D111"/>
    <mergeCell ref="A100:E100"/>
    <mergeCell ref="A101:G101"/>
    <mergeCell ref="B102:E102"/>
    <mergeCell ref="B103:E103"/>
    <mergeCell ref="B104:E104"/>
    <mergeCell ref="B105:E105"/>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8"/>
  <sheetViews>
    <sheetView showGridLines="0" view="pageBreakPreview" topLeftCell="A58" zoomScaleNormal="100" zoomScaleSheetLayoutView="100" workbookViewId="0">
      <selection activeCell="G75" activeCellId="1" sqref="G79 G75"/>
    </sheetView>
  </sheetViews>
  <sheetFormatPr defaultColWidth="11.42578125" defaultRowHeight="16.5" x14ac:dyDescent="0.3"/>
  <cols>
    <col min="1" max="1" width="3" style="56" bestFit="1" customWidth="1"/>
    <col min="2" max="2" width="44.28515625" style="56" customWidth="1"/>
    <col min="3" max="8" width="14.5703125" style="56" customWidth="1"/>
    <col min="9" max="9" width="14.140625" style="56" bestFit="1" customWidth="1"/>
    <col min="10" max="16384" width="11.42578125" style="56"/>
  </cols>
  <sheetData>
    <row r="1" spans="2:12" s="33" customFormat="1" ht="26.25" customHeight="1" x14ac:dyDescent="0.3">
      <c r="B1" s="1037" t="s">
        <v>500</v>
      </c>
      <c r="C1" s="1038"/>
      <c r="D1" s="1038"/>
      <c r="E1" s="1038"/>
      <c r="F1" s="1038"/>
      <c r="G1" s="1038"/>
      <c r="H1" s="1039"/>
      <c r="I1" s="56"/>
      <c r="L1" s="50"/>
    </row>
    <row r="2" spans="2:12" s="33" customFormat="1" ht="26.25" customHeight="1" thickBot="1" x14ac:dyDescent="0.35">
      <c r="B2" s="1040" t="s">
        <v>503</v>
      </c>
      <c r="C2" s="1041"/>
      <c r="D2" s="1041"/>
      <c r="E2" s="1041"/>
      <c r="F2" s="1041"/>
      <c r="G2" s="1041"/>
      <c r="H2" s="1042"/>
      <c r="I2" s="56"/>
      <c r="L2" s="50"/>
    </row>
    <row r="3" spans="2:12" s="33" customFormat="1" ht="38.25" customHeight="1" thickBot="1" x14ac:dyDescent="0.35">
      <c r="B3" s="1043" t="s">
        <v>394</v>
      </c>
      <c r="C3" s="1044"/>
      <c r="D3" s="1044"/>
      <c r="E3" s="1044"/>
      <c r="F3" s="1044"/>
      <c r="G3" s="1044"/>
      <c r="H3" s="1045"/>
      <c r="I3" s="56"/>
      <c r="J3" s="1014"/>
      <c r="K3" s="1014"/>
      <c r="L3" s="50"/>
    </row>
    <row r="4" spans="2:12" ht="15.95" customHeight="1" x14ac:dyDescent="0.3">
      <c r="B4" s="1032" t="s">
        <v>159</v>
      </c>
      <c r="C4" s="1033"/>
      <c r="D4" s="1033"/>
      <c r="E4" s="1033"/>
      <c r="F4" s="1033"/>
      <c r="G4" s="1033"/>
      <c r="H4" s="1034"/>
    </row>
    <row r="5" spans="2:12" ht="15.95" customHeight="1" thickBot="1" x14ac:dyDescent="0.35">
      <c r="B5" s="1032"/>
      <c r="C5" s="1033"/>
      <c r="D5" s="1033"/>
      <c r="E5" s="1033"/>
      <c r="F5" s="1033"/>
      <c r="G5" s="1033"/>
      <c r="H5" s="1034"/>
    </row>
    <row r="6" spans="2:12" ht="15.95" customHeight="1" thickBot="1" x14ac:dyDescent="0.35">
      <c r="B6" s="158" t="s">
        <v>174</v>
      </c>
      <c r="C6" s="1055" t="s">
        <v>428</v>
      </c>
      <c r="D6" s="1056"/>
      <c r="E6" s="1056"/>
      <c r="F6" s="1056"/>
      <c r="G6" s="1056"/>
      <c r="H6" s="1057"/>
    </row>
    <row r="7" spans="2:12" ht="48.6" customHeight="1" thickBot="1" x14ac:dyDescent="0.35">
      <c r="B7" s="137" t="s">
        <v>193</v>
      </c>
      <c r="C7" s="159" t="s">
        <v>173</v>
      </c>
      <c r="D7" s="159" t="s">
        <v>465</v>
      </c>
      <c r="E7" s="159" t="s">
        <v>243</v>
      </c>
      <c r="F7" s="160" t="s">
        <v>464</v>
      </c>
      <c r="G7" s="81"/>
      <c r="H7" s="71"/>
    </row>
    <row r="8" spans="2:12" ht="15.95" customHeight="1" x14ac:dyDescent="0.3">
      <c r="B8" s="141" t="s">
        <v>236</v>
      </c>
      <c r="C8" s="142">
        <v>1571.78</v>
      </c>
      <c r="D8" s="143">
        <v>800</v>
      </c>
      <c r="E8" s="144">
        <f t="shared" ref="E8:E13" si="0">C8/D8</f>
        <v>1.96</v>
      </c>
      <c r="F8" s="1026">
        <f>ROUNDDOWN(SUM(E8:E12),0)</f>
        <v>20</v>
      </c>
      <c r="G8" s="1015"/>
      <c r="H8" s="71"/>
    </row>
    <row r="9" spans="2:12" ht="15.95" customHeight="1" x14ac:dyDescent="0.3">
      <c r="B9" s="161" t="s">
        <v>247</v>
      </c>
      <c r="C9" s="59">
        <v>93012.78</v>
      </c>
      <c r="D9" s="369">
        <v>5500</v>
      </c>
      <c r="E9" s="163">
        <f t="shared" si="0"/>
        <v>16.91</v>
      </c>
      <c r="F9" s="1027"/>
      <c r="G9" s="1015"/>
      <c r="H9" s="71"/>
    </row>
    <row r="10" spans="2:12" ht="15.95" customHeight="1" x14ac:dyDescent="0.3">
      <c r="B10" s="161" t="s">
        <v>414</v>
      </c>
      <c r="C10" s="164">
        <v>155.66999999999999</v>
      </c>
      <c r="D10" s="162">
        <v>300</v>
      </c>
      <c r="E10" s="163">
        <f t="shared" si="0"/>
        <v>0.52</v>
      </c>
      <c r="F10" s="1027"/>
      <c r="G10" s="1015"/>
      <c r="H10" s="71"/>
    </row>
    <row r="11" spans="2:12" ht="15.95" customHeight="1" x14ac:dyDescent="0.3">
      <c r="B11" s="340" t="s">
        <v>238</v>
      </c>
      <c r="C11" s="201">
        <v>200.48</v>
      </c>
      <c r="D11" s="202">
        <v>200</v>
      </c>
      <c r="E11" s="163">
        <f t="shared" si="0"/>
        <v>1</v>
      </c>
      <c r="F11" s="1027"/>
      <c r="G11" s="1015"/>
      <c r="H11" s="71"/>
    </row>
    <row r="12" spans="2:12" ht="15.95" customHeight="1" thickBot="1" x14ac:dyDescent="0.35">
      <c r="B12" s="165" t="s">
        <v>411</v>
      </c>
      <c r="C12" s="166">
        <v>0</v>
      </c>
      <c r="D12" s="167">
        <v>200</v>
      </c>
      <c r="E12" s="341">
        <f t="shared" si="0"/>
        <v>0</v>
      </c>
      <c r="F12" s="1028"/>
      <c r="G12" s="1015"/>
      <c r="H12" s="71"/>
    </row>
    <row r="13" spans="2:12" ht="15.95" customHeight="1" thickBot="1" x14ac:dyDescent="0.35">
      <c r="B13" s="138" t="s">
        <v>237</v>
      </c>
      <c r="C13" s="59">
        <v>115836</v>
      </c>
      <c r="D13" s="368">
        <v>40000</v>
      </c>
      <c r="E13" s="140">
        <f t="shared" si="0"/>
        <v>2.9</v>
      </c>
      <c r="F13" s="361">
        <f>ROUNDUP(SUM(E13),0)</f>
        <v>3</v>
      </c>
      <c r="G13" s="360"/>
      <c r="H13" s="71"/>
      <c r="I13" s="145"/>
    </row>
    <row r="14" spans="2:12" ht="15.95" customHeight="1" x14ac:dyDescent="0.3">
      <c r="B14" s="1018" t="str">
        <f>'Agente de Higienização_CERIB'!F16</f>
        <v>Agente de Higienização</v>
      </c>
      <c r="C14" s="1019"/>
      <c r="D14" s="1019"/>
      <c r="E14" s="1019"/>
      <c r="F14" s="168">
        <f>'Agente de Higienização_CERIB'!F22</f>
        <v>18</v>
      </c>
      <c r="G14" s="125"/>
      <c r="H14" s="71"/>
    </row>
    <row r="15" spans="2:12" ht="15.95" customHeight="1" x14ac:dyDescent="0.3">
      <c r="B15" s="1020" t="str">
        <f>Jardineiro_CERIB!F16</f>
        <v>Jardineiro</v>
      </c>
      <c r="C15" s="1021"/>
      <c r="D15" s="1021"/>
      <c r="E15" s="1021"/>
      <c r="F15" s="169">
        <f>Jardineiro_CERIB!F22</f>
        <v>1</v>
      </c>
      <c r="G15" s="126"/>
      <c r="H15" s="71"/>
    </row>
    <row r="16" spans="2:12" ht="15.95" customHeight="1" x14ac:dyDescent="0.3">
      <c r="B16" s="1029" t="str">
        <f>Tratorista_CERIB!F16</f>
        <v>Tratorista</v>
      </c>
      <c r="C16" s="1030"/>
      <c r="D16" s="1030"/>
      <c r="E16" s="1031"/>
      <c r="F16" s="270">
        <f>Tratorista_CERIB!F22</f>
        <v>1</v>
      </c>
      <c r="G16" s="126"/>
      <c r="H16" s="71"/>
    </row>
    <row r="17" spans="2:8" ht="15.95" customHeight="1" x14ac:dyDescent="0.3">
      <c r="B17" s="1074" t="str">
        <f>'Ajudante de Tratorista_CERIB'!F16</f>
        <v>Ajudante de Tratorista</v>
      </c>
      <c r="C17" s="1075"/>
      <c r="D17" s="1075"/>
      <c r="E17" s="1076"/>
      <c r="F17" s="270">
        <f>'Ajudante de Tratorista_CERIB'!F22</f>
        <v>1</v>
      </c>
      <c r="G17" s="126"/>
      <c r="H17" s="71"/>
    </row>
    <row r="18" spans="2:8" ht="15.95" customHeight="1" x14ac:dyDescent="0.3">
      <c r="B18" s="1074" t="str">
        <f>Buerista_CERIB!F16</f>
        <v>Buerista</v>
      </c>
      <c r="C18" s="1075"/>
      <c r="D18" s="1075"/>
      <c r="E18" s="1076"/>
      <c r="F18" s="270">
        <f>Buerista_CERIB!F22</f>
        <v>1</v>
      </c>
      <c r="G18" s="126"/>
      <c r="H18" s="71"/>
    </row>
    <row r="19" spans="2:8" ht="15.95" customHeight="1" x14ac:dyDescent="0.3">
      <c r="B19" s="1029" t="str">
        <f>'Ajud. de Serv. Diversos_CERIB'!F16</f>
        <v>Ajudante de Serviços Diversos</v>
      </c>
      <c r="C19" s="1030"/>
      <c r="D19" s="1030"/>
      <c r="E19" s="1031"/>
      <c r="F19" s="270">
        <f>'Ajud. de Serv. Diversos_CERIB'!F22</f>
        <v>2</v>
      </c>
      <c r="G19" s="126"/>
      <c r="H19" s="71"/>
    </row>
    <row r="20" spans="2:8" ht="15.95" customHeight="1" x14ac:dyDescent="0.3">
      <c r="B20" s="1029" t="str">
        <f>Encarregado_CERIB!F16</f>
        <v>Encarregado de Limpeza</v>
      </c>
      <c r="C20" s="1030"/>
      <c r="D20" s="1030"/>
      <c r="E20" s="1031"/>
      <c r="F20" s="270">
        <f>Encarregado_CERIB!F22</f>
        <v>1</v>
      </c>
      <c r="G20" s="126"/>
      <c r="H20" s="71"/>
    </row>
    <row r="21" spans="2:8" ht="15.95" customHeight="1" thickBot="1" x14ac:dyDescent="0.35">
      <c r="B21" s="1022" t="s">
        <v>472</v>
      </c>
      <c r="C21" s="1023"/>
      <c r="D21" s="1023"/>
      <c r="E21" s="1023"/>
      <c r="F21" s="152">
        <f>SUM(F14:F20)</f>
        <v>25</v>
      </c>
      <c r="G21" s="127"/>
      <c r="H21" s="71"/>
    </row>
    <row r="22" spans="2:8" ht="15.95" customHeight="1" thickBot="1" x14ac:dyDescent="0.35">
      <c r="B22" s="170"/>
      <c r="C22" s="58"/>
      <c r="D22" s="57"/>
      <c r="E22" s="58"/>
      <c r="F22" s="58"/>
      <c r="G22" s="58"/>
      <c r="H22" s="71"/>
    </row>
    <row r="23" spans="2:8" ht="29.45" customHeight="1" thickBot="1" x14ac:dyDescent="0.35">
      <c r="B23" s="82" t="s">
        <v>194</v>
      </c>
      <c r="C23" s="171" t="s">
        <v>178</v>
      </c>
      <c r="D23" s="81"/>
      <c r="E23" s="81"/>
      <c r="F23" s="58"/>
      <c r="G23" s="58"/>
      <c r="H23" s="71"/>
    </row>
    <row r="24" spans="2:8" ht="15.95" customHeight="1" x14ac:dyDescent="0.3">
      <c r="B24" s="370" t="str">
        <f>B14</f>
        <v>Agente de Higienização</v>
      </c>
      <c r="C24" s="173">
        <f ca="1">'Agente de Higienização_CERIB'!G140</f>
        <v>4744.91</v>
      </c>
      <c r="D24" s="80"/>
      <c r="E24" s="80"/>
      <c r="F24" s="58"/>
      <c r="G24" s="58"/>
      <c r="H24" s="73"/>
    </row>
    <row r="25" spans="2:8" ht="15.95" customHeight="1" x14ac:dyDescent="0.3">
      <c r="B25" s="370" t="str">
        <f>B15</f>
        <v>Jardineiro</v>
      </c>
      <c r="C25" s="173">
        <f ca="1">Jardineiro_CERIB!G140</f>
        <v>3825.53</v>
      </c>
      <c r="D25" s="80"/>
      <c r="E25" s="80"/>
      <c r="F25" s="58"/>
      <c r="G25" s="58"/>
      <c r="H25" s="73"/>
    </row>
    <row r="26" spans="2:8" ht="15.95" customHeight="1" x14ac:dyDescent="0.3">
      <c r="B26" s="370" t="str">
        <f>B16</f>
        <v>Tratorista</v>
      </c>
      <c r="C26" s="173">
        <f ca="1">Tratorista_CERIB!G140</f>
        <v>4186.6000000000004</v>
      </c>
      <c r="D26" s="80"/>
      <c r="E26" s="80"/>
      <c r="F26" s="58"/>
      <c r="G26" s="58"/>
      <c r="H26" s="73"/>
    </row>
    <row r="27" spans="2:8" ht="15.95" customHeight="1" x14ac:dyDescent="0.3">
      <c r="B27" s="370" t="str">
        <f>B17</f>
        <v>Ajudante de Tratorista</v>
      </c>
      <c r="C27" s="173">
        <f ca="1">'Ajudante de Tratorista_CERIB'!G140</f>
        <v>3759.82</v>
      </c>
      <c r="D27" s="80"/>
      <c r="E27" s="80"/>
      <c r="F27" s="58"/>
      <c r="G27" s="58"/>
      <c r="H27" s="73"/>
    </row>
    <row r="28" spans="2:8" ht="15.95" customHeight="1" x14ac:dyDescent="0.3">
      <c r="B28" s="370" t="str">
        <f>B18</f>
        <v>Buerista</v>
      </c>
      <c r="C28" s="173">
        <f ca="1">Buerista_CERIB!G140</f>
        <v>5540.53</v>
      </c>
      <c r="D28" s="80"/>
      <c r="E28" s="80"/>
      <c r="F28" s="58"/>
      <c r="G28" s="58"/>
      <c r="H28" s="73"/>
    </row>
    <row r="29" spans="2:8" ht="15.95" customHeight="1" x14ac:dyDescent="0.3">
      <c r="B29" s="370" t="str">
        <f t="shared" ref="B29:B30" si="1">B19</f>
        <v>Ajudante de Serviços Diversos</v>
      </c>
      <c r="C29" s="173">
        <f ca="1">'Ajud. de Serv. Diversos_CERIB'!G142</f>
        <v>8799.6</v>
      </c>
      <c r="D29" s="80"/>
      <c r="E29" s="80"/>
      <c r="F29" s="58"/>
      <c r="G29" s="58"/>
      <c r="H29" s="73"/>
    </row>
    <row r="30" spans="2:8" ht="15.95" customHeight="1" thickBot="1" x14ac:dyDescent="0.35">
      <c r="B30" s="370" t="str">
        <f t="shared" si="1"/>
        <v>Encarregado de Limpeza</v>
      </c>
      <c r="C30" s="395">
        <f ca="1">Encarregado_CERIB!G140</f>
        <v>5616.66</v>
      </c>
      <c r="D30" s="80"/>
      <c r="E30" s="80"/>
      <c r="F30" s="58"/>
      <c r="G30" s="58"/>
      <c r="H30" s="73"/>
    </row>
    <row r="31" spans="2:8" ht="15.95" customHeight="1" thickBot="1" x14ac:dyDescent="0.35">
      <c r="B31" s="170"/>
      <c r="C31" s="58"/>
      <c r="D31" s="57"/>
      <c r="E31" s="58"/>
      <c r="F31" s="58"/>
      <c r="G31" s="58"/>
      <c r="H31" s="71"/>
    </row>
    <row r="32" spans="2:8" ht="28.5" customHeight="1" thickBot="1" x14ac:dyDescent="0.35">
      <c r="B32" s="174" t="s">
        <v>165</v>
      </c>
      <c r="C32" s="175" t="s">
        <v>177</v>
      </c>
      <c r="D32" s="175" t="s">
        <v>172</v>
      </c>
      <c r="E32" s="175" t="s">
        <v>171</v>
      </c>
      <c r="F32" s="58"/>
      <c r="G32" s="58"/>
      <c r="H32" s="71"/>
    </row>
    <row r="33" spans="2:8" s="60" customFormat="1" ht="15.95" customHeight="1" x14ac:dyDescent="0.3">
      <c r="B33" s="176" t="s">
        <v>163</v>
      </c>
      <c r="C33" s="177"/>
      <c r="D33" s="177"/>
      <c r="E33" s="178"/>
      <c r="F33" s="58"/>
      <c r="G33" s="58"/>
      <c r="H33" s="71"/>
    </row>
    <row r="34" spans="2:8" s="60" customFormat="1" ht="15.95" customHeight="1" x14ac:dyDescent="0.3">
      <c r="B34" s="172" t="str">
        <f>B24</f>
        <v>Agente de Higienização</v>
      </c>
      <c r="C34" s="500">
        <f>ROUND(1/(21*D8),9)</f>
        <v>5.9524000000000001E-5</v>
      </c>
      <c r="D34" s="61">
        <f ca="1">C24</f>
        <v>4744.91</v>
      </c>
      <c r="E34" s="77">
        <f ca="1">ROUND(D34*C34,2)</f>
        <v>0.28000000000000003</v>
      </c>
      <c r="F34" s="58"/>
      <c r="G34" s="58"/>
      <c r="H34" s="71"/>
    </row>
    <row r="35" spans="2:8" s="60" customFormat="1" ht="15.95" customHeight="1" x14ac:dyDescent="0.3">
      <c r="B35" s="371" t="str">
        <f>B30</f>
        <v>Encarregado de Limpeza</v>
      </c>
      <c r="C35" s="505">
        <f>ROUND(1/(21*D8),9)</f>
        <v>5.9524000000000001E-5</v>
      </c>
      <c r="D35" s="373">
        <f ca="1">C30</f>
        <v>5616.66</v>
      </c>
      <c r="E35" s="77">
        <f ca="1">ROUND(D35*C35,2)</f>
        <v>0.33</v>
      </c>
      <c r="F35" s="58"/>
      <c r="G35" s="58"/>
      <c r="H35" s="71"/>
    </row>
    <row r="36" spans="2:8" s="60" customFormat="1" ht="15.95" customHeight="1" thickBot="1" x14ac:dyDescent="0.35">
      <c r="B36" s="384"/>
      <c r="C36" s="1077" t="s">
        <v>170</v>
      </c>
      <c r="D36" s="1078"/>
      <c r="E36" s="393">
        <f ca="1">SUM(E34:E35)</f>
        <v>0.61</v>
      </c>
      <c r="F36" s="58"/>
      <c r="G36" s="58"/>
      <c r="H36" s="71"/>
    </row>
    <row r="37" spans="2:8" s="60" customFormat="1" ht="30.75" customHeight="1" thickBot="1" x14ac:dyDescent="0.35">
      <c r="B37" s="174" t="s">
        <v>165</v>
      </c>
      <c r="C37" s="175" t="s">
        <v>177</v>
      </c>
      <c r="D37" s="175" t="s">
        <v>172</v>
      </c>
      <c r="E37" s="175" t="s">
        <v>171</v>
      </c>
      <c r="F37" s="58"/>
      <c r="G37" s="58"/>
      <c r="H37" s="71"/>
    </row>
    <row r="38" spans="2:8" s="60" customFormat="1" ht="15.95" customHeight="1" x14ac:dyDescent="0.3">
      <c r="B38" s="176" t="s">
        <v>161</v>
      </c>
      <c r="C38" s="177"/>
      <c r="D38" s="177"/>
      <c r="E38" s="178"/>
      <c r="F38" s="58"/>
      <c r="G38" s="58"/>
      <c r="H38" s="71"/>
    </row>
    <row r="39" spans="2:8" s="60" customFormat="1" ht="15.95" customHeight="1" x14ac:dyDescent="0.3">
      <c r="B39" s="172" t="str">
        <f>B24</f>
        <v>Agente de Higienização</v>
      </c>
      <c r="C39" s="500">
        <f>ROUND(1/(4*D9),9)</f>
        <v>4.5454999999999998E-5</v>
      </c>
      <c r="D39" s="61">
        <f ca="1">C24</f>
        <v>4744.91</v>
      </c>
      <c r="E39" s="77">
        <f ca="1">ROUND(D39*C39,2)</f>
        <v>0.22</v>
      </c>
      <c r="F39" s="58"/>
      <c r="G39" s="58"/>
      <c r="H39" s="71"/>
    </row>
    <row r="40" spans="2:8" s="60" customFormat="1" ht="15.95" customHeight="1" x14ac:dyDescent="0.3">
      <c r="B40" s="363" t="str">
        <f>B28</f>
        <v>Buerista</v>
      </c>
      <c r="C40" s="502">
        <f>ROUND(1/(D9),9)</f>
        <v>1.8181800000000001E-4</v>
      </c>
      <c r="D40" s="367">
        <f ca="1">C28</f>
        <v>5540.53</v>
      </c>
      <c r="E40" s="366">
        <f ca="1">ROUND(D40*C40,2)</f>
        <v>1.01</v>
      </c>
      <c r="F40" s="58"/>
      <c r="G40" s="58"/>
      <c r="H40" s="71"/>
    </row>
    <row r="41" spans="2:8" s="60" customFormat="1" ht="15.95" customHeight="1" x14ac:dyDescent="0.3">
      <c r="B41" s="380" t="str">
        <f>B30</f>
        <v>Encarregado de Limpeza</v>
      </c>
      <c r="C41" s="504">
        <f>ROUND(1/(21*D9),9)</f>
        <v>8.6580000000000008E-6</v>
      </c>
      <c r="D41" s="381">
        <f ca="1">C30</f>
        <v>5616.66</v>
      </c>
      <c r="E41" s="366">
        <f ca="1">ROUND(D41*C41,2)</f>
        <v>0.05</v>
      </c>
      <c r="F41" s="58"/>
      <c r="G41" s="58"/>
      <c r="H41" s="71"/>
    </row>
    <row r="42" spans="2:8" s="60" customFormat="1" ht="15.95" customHeight="1" thickBot="1" x14ac:dyDescent="0.35">
      <c r="B42" s="364"/>
      <c r="C42" s="1058" t="s">
        <v>169</v>
      </c>
      <c r="D42" s="1059"/>
      <c r="E42" s="365">
        <f ca="1">SUM(E39:E41)</f>
        <v>1.28</v>
      </c>
      <c r="F42" s="58"/>
      <c r="G42" s="58"/>
      <c r="H42" s="71"/>
    </row>
    <row r="43" spans="2:8" s="60" customFormat="1" ht="15.95" customHeight="1" x14ac:dyDescent="0.3">
      <c r="B43" s="133" t="s">
        <v>239</v>
      </c>
      <c r="C43" s="64"/>
      <c r="D43" s="64"/>
      <c r="E43" s="362"/>
      <c r="F43" s="58"/>
      <c r="G43" s="58"/>
      <c r="H43" s="71"/>
    </row>
    <row r="44" spans="2:8" s="60" customFormat="1" ht="15.95" customHeight="1" x14ac:dyDescent="0.3">
      <c r="B44" s="172" t="str">
        <f>B24</f>
        <v>Agente de Higienização</v>
      </c>
      <c r="C44" s="181">
        <f>ROUND(1/(21*D11),9)</f>
        <v>2.3809499999999999E-4</v>
      </c>
      <c r="D44" s="182">
        <f ca="1">C24</f>
        <v>4744.91</v>
      </c>
      <c r="E44" s="62">
        <f ca="1">ROUND(D44*C44,2)</f>
        <v>1.1299999999999999</v>
      </c>
      <c r="F44" s="58"/>
      <c r="G44" s="58"/>
      <c r="H44" s="71"/>
    </row>
    <row r="45" spans="2:8" s="60" customFormat="1" ht="15.95" customHeight="1" x14ac:dyDescent="0.3">
      <c r="B45" s="371" t="str">
        <f>B30</f>
        <v>Encarregado de Limpeza</v>
      </c>
      <c r="C45" s="372">
        <f>ROUND(1/(21*D11),9)</f>
        <v>2.3809499999999999E-4</v>
      </c>
      <c r="D45" s="373">
        <f ca="1">C30</f>
        <v>5616.66</v>
      </c>
      <c r="E45" s="62">
        <f ca="1">ROUND(D45*C45,2)</f>
        <v>1.34</v>
      </c>
      <c r="F45" s="58"/>
      <c r="G45" s="58"/>
      <c r="H45" s="71"/>
    </row>
    <row r="46" spans="2:8" s="63" customFormat="1" ht="15.95" customHeight="1" thickBot="1" x14ac:dyDescent="0.35">
      <c r="B46" s="384"/>
      <c r="C46" s="1077" t="s">
        <v>240</v>
      </c>
      <c r="D46" s="1078"/>
      <c r="E46" s="385">
        <f ca="1">SUM(E44:E45)</f>
        <v>2.4700000000000002</v>
      </c>
      <c r="F46" s="58"/>
      <c r="G46" s="58"/>
      <c r="H46" s="71"/>
    </row>
    <row r="47" spans="2:8" s="506" customFormat="1" ht="15.95" customHeight="1" x14ac:dyDescent="0.3">
      <c r="B47" s="507" t="s">
        <v>412</v>
      </c>
      <c r="C47" s="508"/>
      <c r="D47" s="508"/>
      <c r="E47" s="509"/>
      <c r="F47" s="510"/>
      <c r="G47" s="510"/>
      <c r="H47" s="511"/>
    </row>
    <row r="48" spans="2:8" s="506" customFormat="1" ht="15.95" customHeight="1" x14ac:dyDescent="0.3">
      <c r="B48" s="521" t="str">
        <f>B24</f>
        <v>Agente de Higienização</v>
      </c>
      <c r="C48" s="513">
        <f>ROUND(1/(26*D12),9)*0</f>
        <v>0</v>
      </c>
      <c r="D48" s="514">
        <f ca="1">C24</f>
        <v>4744.91</v>
      </c>
      <c r="E48" s="515">
        <f ca="1">ROUND(D48*C48,2)</f>
        <v>0</v>
      </c>
      <c r="F48" s="510"/>
      <c r="G48" s="510"/>
      <c r="H48" s="511"/>
    </row>
    <row r="49" spans="1:8" s="506" customFormat="1" ht="15.95" customHeight="1" x14ac:dyDescent="0.3">
      <c r="B49" s="522" t="str">
        <f>B30</f>
        <v>Encarregado de Limpeza</v>
      </c>
      <c r="C49" s="523">
        <f>ROUND(1/(26*D12),9)*0</f>
        <v>0</v>
      </c>
      <c r="D49" s="517">
        <f ca="1">C30</f>
        <v>5616.66</v>
      </c>
      <c r="E49" s="515">
        <f ca="1">ROUND(D49*C49,2)</f>
        <v>0</v>
      </c>
      <c r="F49" s="510"/>
      <c r="G49" s="510"/>
      <c r="H49" s="511"/>
    </row>
    <row r="50" spans="1:8" s="506" customFormat="1" ht="15.95" customHeight="1" thickBot="1" x14ac:dyDescent="0.35">
      <c r="B50" s="519"/>
      <c r="C50" s="1060" t="s">
        <v>240</v>
      </c>
      <c r="D50" s="1061"/>
      <c r="E50" s="524">
        <f ca="1">SUM(E48:E49)</f>
        <v>0</v>
      </c>
      <c r="F50" s="510"/>
      <c r="G50" s="510"/>
      <c r="H50" s="511"/>
    </row>
    <row r="51" spans="1:8" s="60" customFormat="1" ht="15.95" customHeight="1" thickBot="1" x14ac:dyDescent="0.35">
      <c r="B51" s="184"/>
      <c r="C51" s="58"/>
      <c r="D51" s="57"/>
      <c r="E51" s="58"/>
      <c r="F51" s="57"/>
      <c r="G51" s="58"/>
      <c r="H51" s="71"/>
    </row>
    <row r="52" spans="1:8" s="60" customFormat="1" ht="15.95" customHeight="1" thickBot="1" x14ac:dyDescent="0.35">
      <c r="B52" s="1016" t="s">
        <v>165</v>
      </c>
      <c r="C52" s="1017" t="s">
        <v>177</v>
      </c>
      <c r="D52" s="1017" t="s">
        <v>244</v>
      </c>
      <c r="E52" s="1017" t="s">
        <v>245</v>
      </c>
      <c r="F52" s="1017" t="s">
        <v>168</v>
      </c>
      <c r="G52" s="1017" t="s">
        <v>167</v>
      </c>
      <c r="H52" s="1048" t="s">
        <v>166</v>
      </c>
    </row>
    <row r="53" spans="1:8" s="60" customFormat="1" ht="36" customHeight="1" thickBot="1" x14ac:dyDescent="0.35">
      <c r="B53" s="1016"/>
      <c r="C53" s="1017"/>
      <c r="D53" s="1017"/>
      <c r="E53" s="1017"/>
      <c r="F53" s="1017"/>
      <c r="G53" s="1017"/>
      <c r="H53" s="1048"/>
    </row>
    <row r="54" spans="1:8" s="60" customFormat="1" ht="15.95" customHeight="1" x14ac:dyDescent="0.3">
      <c r="B54" s="185" t="s">
        <v>310</v>
      </c>
      <c r="C54" s="186"/>
      <c r="D54" s="186"/>
      <c r="E54" s="186"/>
      <c r="F54" s="186"/>
      <c r="G54" s="186"/>
      <c r="H54" s="187"/>
    </row>
    <row r="55" spans="1:8" s="60" customFormat="1" ht="15.95" customHeight="1" x14ac:dyDescent="0.3">
      <c r="B55" s="74" t="str">
        <f>B24</f>
        <v>Agente de Higienização</v>
      </c>
      <c r="C55" s="181">
        <f>ROUND(1/D10,9)</f>
        <v>3.333333E-3</v>
      </c>
      <c r="D55" s="188">
        <f>ROUNDUP(((C10/D10)*8),2)</f>
        <v>4</v>
      </c>
      <c r="E55" s="189">
        <f>ROUND(1/188.76,9)</f>
        <v>5.2977329999999998E-3</v>
      </c>
      <c r="F55" s="190">
        <f>ROUND(((C55)*(E55)*(D55)),9)</f>
        <v>7.0636000000000006E-5</v>
      </c>
      <c r="G55" s="191">
        <f ca="1">C24</f>
        <v>4744.91</v>
      </c>
      <c r="H55" s="192">
        <f ca="1">ROUND(G55*F55,2)</f>
        <v>0.34</v>
      </c>
    </row>
    <row r="56" spans="1:8" s="60" customFormat="1" ht="15.95" customHeight="1" x14ac:dyDescent="0.3">
      <c r="B56" s="371" t="str">
        <f>B30</f>
        <v>Encarregado de Limpeza</v>
      </c>
      <c r="C56" s="372">
        <f>ROUND(1/(21*D10),9)</f>
        <v>1.5872999999999999E-4</v>
      </c>
      <c r="D56" s="394">
        <f>ROUNDUP(((C10/D10)*8),2)</f>
        <v>4</v>
      </c>
      <c r="E56" s="390">
        <f>ROUND(1/188.76,9)</f>
        <v>5.2977329999999998E-3</v>
      </c>
      <c r="F56" s="391">
        <f>ROUND(((C56)*(E56)*(D56)),9)</f>
        <v>3.3639999999999999E-6</v>
      </c>
      <c r="G56" s="373">
        <f ca="1">C30</f>
        <v>5616.66</v>
      </c>
      <c r="H56" s="192">
        <f ca="1">ROUND(G56*F56,2)</f>
        <v>0.02</v>
      </c>
    </row>
    <row r="57" spans="1:8" s="60" customFormat="1" ht="15.95" customHeight="1" thickBot="1" x14ac:dyDescent="0.35">
      <c r="B57" s="386"/>
      <c r="C57" s="387"/>
      <c r="D57" s="387"/>
      <c r="E57" s="387"/>
      <c r="F57" s="387"/>
      <c r="G57" s="388" t="s">
        <v>311</v>
      </c>
      <c r="H57" s="389">
        <f ca="1">ROUND(SUM(H55:H56),2)</f>
        <v>0.36</v>
      </c>
    </row>
    <row r="58" spans="1:8" s="66" customFormat="1" ht="15.95" customHeight="1" thickBot="1" x14ac:dyDescent="0.35">
      <c r="A58" s="131"/>
      <c r="B58" s="197"/>
      <c r="C58" s="129"/>
      <c r="D58" s="129"/>
      <c r="E58" s="129"/>
      <c r="F58" s="129"/>
      <c r="G58" s="130"/>
      <c r="H58" s="132"/>
    </row>
    <row r="59" spans="1:8" s="60" customFormat="1" ht="39" thickBot="1" x14ac:dyDescent="0.35">
      <c r="B59" s="174" t="s">
        <v>165</v>
      </c>
      <c r="C59" s="175" t="s">
        <v>177</v>
      </c>
      <c r="D59" s="175" t="s">
        <v>172</v>
      </c>
      <c r="E59" s="175" t="s">
        <v>171</v>
      </c>
      <c r="F59" s="58"/>
      <c r="G59" s="58"/>
      <c r="H59" s="71"/>
    </row>
    <row r="60" spans="1:8" s="60" customFormat="1" ht="15.95" customHeight="1" x14ac:dyDescent="0.3">
      <c r="B60" s="176" t="s">
        <v>241</v>
      </c>
      <c r="C60" s="177"/>
      <c r="D60" s="177"/>
      <c r="E60" s="178"/>
      <c r="F60" s="58"/>
      <c r="G60" s="58"/>
      <c r="H60" s="71"/>
    </row>
    <row r="61" spans="1:8" s="63" customFormat="1" ht="15.95" customHeight="1" x14ac:dyDescent="0.3">
      <c r="B61" s="172" t="str">
        <f>B25</f>
        <v>Jardineiro</v>
      </c>
      <c r="C61" s="181">
        <f>ROUND(1/(D$13),9)</f>
        <v>2.5000000000000001E-5</v>
      </c>
      <c r="D61" s="61">
        <f ca="1">C25</f>
        <v>3825.53</v>
      </c>
      <c r="E61" s="77">
        <f ca="1">ROUND(D61*C61,2)</f>
        <v>0.1</v>
      </c>
      <c r="F61" s="58"/>
      <c r="G61" s="58"/>
      <c r="H61" s="71"/>
    </row>
    <row r="62" spans="1:8" s="63" customFormat="1" ht="15.95" customHeight="1" x14ac:dyDescent="0.3">
      <c r="B62" s="371" t="str">
        <f>B26</f>
        <v>Tratorista</v>
      </c>
      <c r="C62" s="181">
        <f t="shared" ref="C62:C63" si="2">ROUND(1/(D$13),9)</f>
        <v>2.5000000000000001E-5</v>
      </c>
      <c r="D62" s="373">
        <f ca="1">C26</f>
        <v>4186.6000000000004</v>
      </c>
      <c r="E62" s="77">
        <f ca="1">ROUND(D62*C62,2)</f>
        <v>0.1</v>
      </c>
      <c r="F62" s="58"/>
      <c r="G62" s="58"/>
      <c r="H62" s="71"/>
    </row>
    <row r="63" spans="1:8" s="63" customFormat="1" ht="15.95" customHeight="1" x14ac:dyDescent="0.3">
      <c r="B63" s="374" t="str">
        <f>B27</f>
        <v>Ajudante de Tratorista</v>
      </c>
      <c r="C63" s="181">
        <f t="shared" si="2"/>
        <v>2.5000000000000001E-5</v>
      </c>
      <c r="D63" s="375">
        <f ca="1">C27</f>
        <v>3759.82</v>
      </c>
      <c r="E63" s="77">
        <f ca="1">ROUND(D63*C63,2)</f>
        <v>0.09</v>
      </c>
      <c r="F63" s="58"/>
      <c r="G63" s="58"/>
      <c r="H63" s="71"/>
    </row>
    <row r="64" spans="1:8" s="63" customFormat="1" ht="15.95" customHeight="1" x14ac:dyDescent="0.3">
      <c r="B64" s="374" t="str">
        <f>B30</f>
        <v>Encarregado de Limpeza</v>
      </c>
      <c r="C64" s="181">
        <f>ROUND(1/(21*D$13),9)</f>
        <v>1.19E-6</v>
      </c>
      <c r="D64" s="375">
        <f ca="1">C30</f>
        <v>5616.66</v>
      </c>
      <c r="E64" s="77">
        <f ca="1">ROUND(D64*C64,2)</f>
        <v>0.01</v>
      </c>
      <c r="F64" s="58"/>
      <c r="G64" s="58"/>
      <c r="H64" s="71"/>
    </row>
    <row r="65" spans="1:247" s="60" customFormat="1" ht="15.95" customHeight="1" thickBot="1" x14ac:dyDescent="0.35">
      <c r="A65" s="65"/>
      <c r="B65" s="179"/>
      <c r="C65" s="1024" t="s">
        <v>246</v>
      </c>
      <c r="D65" s="1025"/>
      <c r="E65" s="180">
        <f ca="1">SUM(E61:E63)</f>
        <v>0.28999999999999998</v>
      </c>
      <c r="F65" s="129"/>
      <c r="G65" s="130"/>
      <c r="H65" s="128"/>
    </row>
    <row r="66" spans="1:247" s="60" customFormat="1" ht="15.95" customHeight="1" thickBot="1" x14ac:dyDescent="0.35">
      <c r="A66" s="65"/>
      <c r="B66" s="170"/>
      <c r="C66" s="58"/>
      <c r="D66" s="58"/>
      <c r="E66" s="58"/>
      <c r="F66" s="58"/>
      <c r="G66" s="58"/>
      <c r="H66" s="71"/>
    </row>
    <row r="67" spans="1:247" s="60" customFormat="1" ht="15.95" customHeight="1" thickBot="1" x14ac:dyDescent="0.35">
      <c r="B67" s="1049" t="s">
        <v>165</v>
      </c>
      <c r="C67" s="1046" t="s">
        <v>164</v>
      </c>
      <c r="D67" s="1051" t="s">
        <v>248</v>
      </c>
      <c r="E67" s="1046" t="s">
        <v>249</v>
      </c>
      <c r="F67" s="1046" t="s">
        <v>471</v>
      </c>
      <c r="G67" s="1053" t="s">
        <v>461</v>
      </c>
      <c r="H67" s="71"/>
    </row>
    <row r="68" spans="1:247" s="60" customFormat="1" ht="29.45" customHeight="1" thickBot="1" x14ac:dyDescent="0.35">
      <c r="B68" s="1050"/>
      <c r="C68" s="1047"/>
      <c r="D68" s="1052"/>
      <c r="E68" s="1047"/>
      <c r="F68" s="1047"/>
      <c r="G68" s="1054"/>
      <c r="H68" s="71"/>
      <c r="IF68" s="66"/>
      <c r="IG68" s="66"/>
      <c r="IH68" s="66"/>
      <c r="II68" s="66"/>
      <c r="IJ68" s="66"/>
      <c r="IK68" s="66"/>
      <c r="IL68" s="66"/>
      <c r="IM68" s="66"/>
    </row>
    <row r="69" spans="1:247" s="60" customFormat="1" ht="15.95" customHeight="1" x14ac:dyDescent="0.3">
      <c r="B69" s="133" t="s">
        <v>163</v>
      </c>
      <c r="C69" s="67">
        <f ca="1">E36</f>
        <v>0.61</v>
      </c>
      <c r="D69" s="68">
        <f t="shared" ref="D69:D74" si="3">C8</f>
        <v>1571.78</v>
      </c>
      <c r="E69" s="198">
        <f t="shared" ref="E69:E74" ca="1" si="4">ROUND(D69*C69,2)</f>
        <v>958.79</v>
      </c>
      <c r="F69" s="68">
        <f>D69*12</f>
        <v>18861.36</v>
      </c>
      <c r="G69" s="200">
        <f ca="1">E69*12</f>
        <v>11505.48</v>
      </c>
      <c r="H69" s="72"/>
      <c r="IE69" s="66"/>
      <c r="IF69" s="66"/>
      <c r="IG69" s="66"/>
      <c r="IH69" s="66"/>
      <c r="II69" s="66"/>
      <c r="IJ69" s="66"/>
      <c r="IK69" s="66"/>
      <c r="IL69" s="66"/>
    </row>
    <row r="70" spans="1:247" s="60" customFormat="1" ht="15.95" customHeight="1" x14ac:dyDescent="0.3">
      <c r="B70" s="157" t="s">
        <v>161</v>
      </c>
      <c r="C70" s="67">
        <f ca="1">E42</f>
        <v>1.28</v>
      </c>
      <c r="D70" s="68">
        <f t="shared" si="3"/>
        <v>93012.78</v>
      </c>
      <c r="E70" s="198">
        <f t="shared" ca="1" si="4"/>
        <v>119056.36</v>
      </c>
      <c r="F70" s="68">
        <f t="shared" ref="F70:G74" si="5">D70*12</f>
        <v>1116153.3600000001</v>
      </c>
      <c r="G70" s="200">
        <f t="shared" ca="1" si="5"/>
        <v>1428676.32</v>
      </c>
      <c r="H70" s="72"/>
      <c r="IE70" s="66"/>
      <c r="IF70" s="66"/>
      <c r="IG70" s="66"/>
      <c r="IH70" s="66"/>
      <c r="II70" s="66"/>
      <c r="IJ70" s="66"/>
      <c r="IK70" s="66"/>
      <c r="IL70" s="66"/>
    </row>
    <row r="71" spans="1:247" s="60" customFormat="1" ht="15.95" customHeight="1" x14ac:dyDescent="0.3">
      <c r="B71" s="157" t="s">
        <v>413</v>
      </c>
      <c r="C71" s="67">
        <f ca="1">H57</f>
        <v>0.36</v>
      </c>
      <c r="D71" s="68">
        <f t="shared" si="3"/>
        <v>155.66999999999999</v>
      </c>
      <c r="E71" s="198">
        <f t="shared" ca="1" si="4"/>
        <v>56.04</v>
      </c>
      <c r="F71" s="68">
        <f t="shared" si="5"/>
        <v>1868.04</v>
      </c>
      <c r="G71" s="200">
        <f t="shared" ca="1" si="5"/>
        <v>672.48</v>
      </c>
      <c r="H71" s="72"/>
    </row>
    <row r="72" spans="1:247" s="60" customFormat="1" ht="15.95" customHeight="1" x14ac:dyDescent="0.3">
      <c r="B72" s="157" t="s">
        <v>239</v>
      </c>
      <c r="C72" s="67">
        <f ca="1">E46</f>
        <v>2.4700000000000002</v>
      </c>
      <c r="D72" s="68">
        <f t="shared" si="3"/>
        <v>200.48</v>
      </c>
      <c r="E72" s="198">
        <f t="shared" ca="1" si="4"/>
        <v>495.19</v>
      </c>
      <c r="F72" s="68">
        <f t="shared" si="5"/>
        <v>2405.7600000000002</v>
      </c>
      <c r="G72" s="200">
        <f t="shared" ca="1" si="5"/>
        <v>5942.28</v>
      </c>
      <c r="H72" s="72"/>
    </row>
    <row r="73" spans="1:247" s="525" customFormat="1" ht="15.95" customHeight="1" x14ac:dyDescent="0.3">
      <c r="B73" s="526" t="s">
        <v>412</v>
      </c>
      <c r="C73" s="527">
        <f ca="1">E50</f>
        <v>0</v>
      </c>
      <c r="D73" s="528">
        <f t="shared" si="3"/>
        <v>0</v>
      </c>
      <c r="E73" s="529">
        <f t="shared" ca="1" si="4"/>
        <v>0</v>
      </c>
      <c r="F73" s="528">
        <f t="shared" si="5"/>
        <v>0</v>
      </c>
      <c r="G73" s="530">
        <f t="shared" ca="1" si="5"/>
        <v>0</v>
      </c>
      <c r="H73" s="531"/>
    </row>
    <row r="74" spans="1:247" s="60" customFormat="1" ht="15.95" customHeight="1" x14ac:dyDescent="0.3">
      <c r="B74" s="157" t="s">
        <v>242</v>
      </c>
      <c r="C74" s="67">
        <f ca="1">E65</f>
        <v>0.28999999999999998</v>
      </c>
      <c r="D74" s="68">
        <f t="shared" si="3"/>
        <v>115836</v>
      </c>
      <c r="E74" s="198">
        <f t="shared" ca="1" si="4"/>
        <v>33592.44</v>
      </c>
      <c r="F74" s="68">
        <f t="shared" si="5"/>
        <v>1390032</v>
      </c>
      <c r="G74" s="200">
        <f t="shared" ca="1" si="5"/>
        <v>403109.28</v>
      </c>
      <c r="H74" s="72"/>
      <c r="I74" s="149"/>
    </row>
    <row r="75" spans="1:247" s="60" customFormat="1" ht="15.95" customHeight="1" x14ac:dyDescent="0.3">
      <c r="A75" s="69" t="s">
        <v>162</v>
      </c>
      <c r="B75" s="1064" t="s">
        <v>416</v>
      </c>
      <c r="C75" s="1065"/>
      <c r="D75" s="1065"/>
      <c r="E75" s="1065"/>
      <c r="F75" s="1065"/>
      <c r="G75" s="446">
        <f ca="1">SUM(E69:E74)</f>
        <v>154158.82</v>
      </c>
      <c r="H75" s="71"/>
    </row>
    <row r="76" spans="1:247" s="60" customFormat="1" ht="15.95" customHeight="1" thickBot="1" x14ac:dyDescent="0.35">
      <c r="A76" s="63"/>
      <c r="B76" s="984" t="s">
        <v>473</v>
      </c>
      <c r="C76" s="985"/>
      <c r="D76" s="985"/>
      <c r="E76" s="985"/>
      <c r="F76" s="985"/>
      <c r="G76" s="453">
        <f ca="1">G75*12</f>
        <v>1849905.84</v>
      </c>
      <c r="H76" s="71"/>
      <c r="I76" s="150"/>
      <c r="J76" s="151"/>
    </row>
    <row r="77" spans="1:247" s="60" customFormat="1" ht="15.95" customHeight="1" x14ac:dyDescent="0.3">
      <c r="A77" s="63"/>
      <c r="B77" s="993" t="s">
        <v>452</v>
      </c>
      <c r="C77" s="994"/>
      <c r="D77" s="994"/>
      <c r="E77" s="994"/>
      <c r="F77" s="994"/>
      <c r="G77" s="427">
        <f>'Insumos Diversos'!H136</f>
        <v>0</v>
      </c>
      <c r="H77" s="71"/>
      <c r="I77" s="150"/>
      <c r="J77" s="151"/>
    </row>
    <row r="78" spans="1:247" s="60" customFormat="1" ht="15.95" customHeight="1" thickBot="1" x14ac:dyDescent="0.35">
      <c r="A78" s="63"/>
      <c r="B78" s="989" t="s">
        <v>459</v>
      </c>
      <c r="C78" s="990"/>
      <c r="D78" s="990"/>
      <c r="E78" s="990"/>
      <c r="F78" s="990"/>
      <c r="G78" s="428">
        <f>G77*12</f>
        <v>0</v>
      </c>
      <c r="H78" s="71"/>
      <c r="I78" s="150"/>
      <c r="J78" s="151"/>
    </row>
    <row r="79" spans="1:247" s="60" customFormat="1" ht="15.95" customHeight="1" x14ac:dyDescent="0.3">
      <c r="A79" s="63"/>
      <c r="B79" s="995" t="str">
        <f>'Ajud. de Serv. Diversos_CERIB'!F16</f>
        <v>Ajudante de Serviços Diversos</v>
      </c>
      <c r="C79" s="996"/>
      <c r="D79" s="996"/>
      <c r="E79" s="996"/>
      <c r="F79" s="996"/>
      <c r="G79" s="454">
        <f ca="1">'Ajud. de Serv. Diversos_CERIB'!G142</f>
        <v>8799.6</v>
      </c>
      <c r="H79" s="71"/>
      <c r="I79" s="150"/>
      <c r="J79" s="151"/>
    </row>
    <row r="80" spans="1:247" s="60" customFormat="1" ht="15.95" customHeight="1" thickBot="1" x14ac:dyDescent="0.35">
      <c r="A80" s="63"/>
      <c r="B80" s="997" t="s">
        <v>474</v>
      </c>
      <c r="C80" s="998"/>
      <c r="D80" s="998"/>
      <c r="E80" s="998"/>
      <c r="F80" s="998"/>
      <c r="G80" s="439">
        <f ca="1">G79*12</f>
        <v>105595.2</v>
      </c>
      <c r="H80" s="71"/>
      <c r="I80" s="150"/>
      <c r="J80" s="151"/>
    </row>
    <row r="81" spans="1:10" s="60" customFormat="1" ht="15.95" customHeight="1" x14ac:dyDescent="0.3">
      <c r="A81" s="63"/>
      <c r="B81" s="1072" t="s">
        <v>456</v>
      </c>
      <c r="C81" s="1073"/>
      <c r="D81" s="1073"/>
      <c r="E81" s="1073"/>
      <c r="F81" s="1073"/>
      <c r="G81" s="442">
        <f ca="1">SUM(G75,G77,G79)</f>
        <v>162958.42000000001</v>
      </c>
      <c r="H81" s="71"/>
      <c r="I81" s="150"/>
      <c r="J81" s="151"/>
    </row>
    <row r="82" spans="1:10" s="60" customFormat="1" ht="15.95" customHeight="1" thickBot="1" x14ac:dyDescent="0.35">
      <c r="A82" s="63"/>
      <c r="B82" s="987" t="s">
        <v>457</v>
      </c>
      <c r="C82" s="988"/>
      <c r="D82" s="988"/>
      <c r="E82" s="988"/>
      <c r="F82" s="988"/>
      <c r="G82" s="443">
        <f ca="1">G81*12</f>
        <v>1955501.04</v>
      </c>
      <c r="H82" s="71"/>
      <c r="I82" s="150"/>
      <c r="J82" s="151"/>
    </row>
    <row r="83" spans="1:10" s="60" customFormat="1" ht="15.95" customHeight="1" x14ac:dyDescent="0.3">
      <c r="B83" s="199" t="s">
        <v>160</v>
      </c>
      <c r="C83" s="58"/>
      <c r="D83" s="58"/>
      <c r="E83" s="58"/>
      <c r="F83" s="58"/>
      <c r="G83" s="58"/>
      <c r="H83" s="71"/>
    </row>
    <row r="84" spans="1:10" s="60" customFormat="1" ht="15.95" customHeight="1" x14ac:dyDescent="0.3">
      <c r="B84" s="1002" t="s">
        <v>252</v>
      </c>
      <c r="C84" s="1003"/>
      <c r="D84" s="1003"/>
      <c r="E84" s="1003"/>
      <c r="F84" s="1003"/>
      <c r="G84" s="1003"/>
      <c r="H84" s="1004"/>
    </row>
    <row r="85" spans="1:10" s="60" customFormat="1" ht="22.5" customHeight="1" x14ac:dyDescent="0.3">
      <c r="B85" s="1005" t="s">
        <v>415</v>
      </c>
      <c r="C85" s="1006"/>
      <c r="D85" s="1006"/>
      <c r="E85" s="1006"/>
      <c r="F85" s="1006"/>
      <c r="G85" s="1006"/>
      <c r="H85" s="1007"/>
    </row>
    <row r="86" spans="1:10" s="60" customFormat="1" ht="30.75" customHeight="1" x14ac:dyDescent="0.3">
      <c r="B86" s="1008" t="s">
        <v>316</v>
      </c>
      <c r="C86" s="1009"/>
      <c r="D86" s="1009"/>
      <c r="E86" s="1009"/>
      <c r="F86" s="1009"/>
      <c r="G86" s="1009"/>
      <c r="H86" s="1010"/>
    </row>
    <row r="87" spans="1:10" s="60" customFormat="1" ht="15.95" customHeight="1" x14ac:dyDescent="0.3">
      <c r="B87" s="1011" t="s">
        <v>192</v>
      </c>
      <c r="C87" s="1012"/>
      <c r="D87" s="1012"/>
      <c r="E87" s="1012"/>
      <c r="F87" s="1012"/>
      <c r="G87" s="1012"/>
      <c r="H87" s="1013"/>
    </row>
    <row r="88" spans="1:10" s="60" customFormat="1" ht="35.25" customHeight="1" thickBot="1" x14ac:dyDescent="0.35">
      <c r="B88" s="999" t="s">
        <v>213</v>
      </c>
      <c r="C88" s="1000"/>
      <c r="D88" s="1000"/>
      <c r="E88" s="1000"/>
      <c r="F88" s="1000"/>
      <c r="G88" s="1000"/>
      <c r="H88" s="1001"/>
    </row>
    <row r="89" spans="1:10" s="60" customFormat="1" ht="15.95" customHeight="1" x14ac:dyDescent="0.3">
      <c r="A89" s="70"/>
      <c r="B89" s="355"/>
      <c r="C89" s="355"/>
      <c r="D89" s="355"/>
      <c r="E89" s="355"/>
      <c r="F89" s="355"/>
      <c r="G89" s="355"/>
      <c r="H89" s="356"/>
    </row>
    <row r="90" spans="1:10" s="60" customFormat="1" ht="15.95" customHeight="1" x14ac:dyDescent="0.3">
      <c r="A90" s="70"/>
    </row>
    <row r="91" spans="1:10" s="60" customFormat="1" ht="15.95" customHeight="1" x14ac:dyDescent="0.3">
      <c r="A91" s="70"/>
    </row>
    <row r="92" spans="1:10" s="60" customFormat="1" ht="15.95" customHeight="1" x14ac:dyDescent="0.3">
      <c r="A92" s="70"/>
    </row>
    <row r="93" spans="1:10" s="60" customFormat="1" ht="15.95" customHeight="1" x14ac:dyDescent="0.3">
      <c r="A93" s="70"/>
    </row>
    <row r="94" spans="1:10" s="60" customFormat="1" ht="15.95" customHeight="1" x14ac:dyDescent="0.3">
      <c r="A94" s="70"/>
    </row>
    <row r="95" spans="1:10" s="60" customFormat="1" ht="15.95" customHeight="1" x14ac:dyDescent="0.3">
      <c r="A95" s="70"/>
    </row>
    <row r="96" spans="1:10" s="60" customFormat="1" ht="15.95" customHeight="1" x14ac:dyDescent="0.3">
      <c r="A96" s="70"/>
    </row>
    <row r="97" spans="1:8" s="60" customFormat="1" ht="15.95" customHeight="1" x14ac:dyDescent="0.3">
      <c r="A97" s="70"/>
      <c r="B97" s="56"/>
      <c r="C97" s="56"/>
      <c r="D97" s="56"/>
      <c r="E97" s="56"/>
      <c r="F97" s="56"/>
    </row>
    <row r="98" spans="1:8" s="60" customFormat="1" ht="15.95" customHeight="1" x14ac:dyDescent="0.3">
      <c r="B98" s="56"/>
      <c r="C98" s="56"/>
      <c r="D98" s="56"/>
      <c r="E98" s="56"/>
      <c r="F98" s="56"/>
      <c r="G98" s="56"/>
    </row>
    <row r="99" spans="1:8" s="60" customFormat="1" ht="15.95" customHeight="1" x14ac:dyDescent="0.3">
      <c r="B99" s="56"/>
      <c r="C99" s="56"/>
      <c r="D99" s="56"/>
      <c r="E99" s="56"/>
      <c r="F99" s="56"/>
      <c r="G99" s="56"/>
      <c r="H99" s="56"/>
    </row>
    <row r="100" spans="1:8" s="60" customFormat="1" ht="15.95" customHeight="1" x14ac:dyDescent="0.3">
      <c r="A100" s="70"/>
      <c r="B100" s="56"/>
      <c r="C100" s="56"/>
      <c r="D100" s="56"/>
      <c r="E100" s="56"/>
      <c r="F100" s="56"/>
      <c r="G100" s="56"/>
      <c r="H100" s="56"/>
    </row>
    <row r="101" spans="1:8" s="60" customFormat="1" ht="15.95" customHeight="1" x14ac:dyDescent="0.3">
      <c r="A101" s="70"/>
      <c r="B101" s="56"/>
      <c r="C101" s="56"/>
      <c r="D101" s="56"/>
      <c r="E101" s="56"/>
      <c r="F101" s="56"/>
      <c r="G101" s="56"/>
      <c r="H101" s="56"/>
    </row>
    <row r="102" spans="1:8" s="60" customFormat="1" ht="15.95" customHeight="1" x14ac:dyDescent="0.3">
      <c r="B102" s="56"/>
      <c r="C102" s="56"/>
      <c r="D102" s="56"/>
      <c r="E102" s="56"/>
      <c r="F102" s="56"/>
      <c r="G102" s="56"/>
      <c r="H102" s="56"/>
    </row>
    <row r="106" spans="1:8" ht="13.35" customHeight="1" x14ac:dyDescent="0.3"/>
    <row r="126" ht="12.95" customHeight="1" x14ac:dyDescent="0.3"/>
    <row r="127" ht="10.5" customHeight="1" x14ac:dyDescent="0.3"/>
    <row r="138" ht="12" customHeight="1" x14ac:dyDescent="0.3"/>
    <row r="139" ht="12" customHeight="1" x14ac:dyDescent="0.3"/>
    <row r="150" ht="13.5" customHeight="1" x14ac:dyDescent="0.3"/>
    <row r="197" ht="10.5" customHeight="1" x14ac:dyDescent="0.3"/>
    <row r="198" ht="10.5" customHeight="1" x14ac:dyDescent="0.3"/>
  </sheetData>
  <mergeCells count="47">
    <mergeCell ref="B1:H1"/>
    <mergeCell ref="B2:H2"/>
    <mergeCell ref="B3:H3"/>
    <mergeCell ref="J3:K3"/>
    <mergeCell ref="B4:H5"/>
    <mergeCell ref="C6:H6"/>
    <mergeCell ref="C50:D50"/>
    <mergeCell ref="F8:F12"/>
    <mergeCell ref="G8:G12"/>
    <mergeCell ref="B14:E14"/>
    <mergeCell ref="B15:E15"/>
    <mergeCell ref="B16:E16"/>
    <mergeCell ref="B19:E19"/>
    <mergeCell ref="B20:E20"/>
    <mergeCell ref="B21:E21"/>
    <mergeCell ref="C36:D36"/>
    <mergeCell ref="C42:D42"/>
    <mergeCell ref="C46:D46"/>
    <mergeCell ref="G67:G68"/>
    <mergeCell ref="B52:B53"/>
    <mergeCell ref="C52:C53"/>
    <mergeCell ref="D52:D53"/>
    <mergeCell ref="E52:E53"/>
    <mergeCell ref="F52:F53"/>
    <mergeCell ref="G52:G53"/>
    <mergeCell ref="B85:H85"/>
    <mergeCell ref="B86:H86"/>
    <mergeCell ref="B87:H87"/>
    <mergeCell ref="B88:H88"/>
    <mergeCell ref="B17:E17"/>
    <mergeCell ref="B18:E18"/>
    <mergeCell ref="B82:F82"/>
    <mergeCell ref="B84:H84"/>
    <mergeCell ref="B76:F76"/>
    <mergeCell ref="H52:H53"/>
    <mergeCell ref="C65:D65"/>
    <mergeCell ref="B67:B68"/>
    <mergeCell ref="C67:C68"/>
    <mergeCell ref="D67:D68"/>
    <mergeCell ref="E67:E68"/>
    <mergeCell ref="F67:F68"/>
    <mergeCell ref="B81:F81"/>
    <mergeCell ref="B75:F75"/>
    <mergeCell ref="B77:F77"/>
    <mergeCell ref="B78:F78"/>
    <mergeCell ref="B79:F79"/>
    <mergeCell ref="B80:F80"/>
  </mergeCells>
  <dataValidations count="1">
    <dataValidation type="custom" allowBlank="1" showErrorMessage="1" errorTitle="Erro" error="Não é permitido escrever nesta célula" sqref="IP112 SL112 ACH112 AMD112 AVZ112 BFV112 BPR112 BZN112 CJJ112 CTF112 DDB112 DMX112 DWT112 EGP112 EQL112 FAH112 FKD112 FTZ112 GDV112 GNR112 GXN112 HHJ112 HRF112 IBB112 IKX112 IUT112 JEP112 JOL112 JYH112 KID112 KRZ112 LBV112 LLR112 LVN112 MFJ112 MPF112 MZB112 NIX112 NST112 OCP112 OML112 OWH112 PGD112 PPZ112 PZV112 QJR112 QTN112 RDJ112 RNF112 RXB112 SGX112 SQT112 TAP112 TKL112 TUH112 UED112 UNZ112 UXV112 VHR112 VRN112 WBJ112 WLF112 WVB112 IP65648 SL65648 ACH65648 AMD65648 AVZ65648 BFV65648 BPR65648 BZN65648 CJJ65648 CTF65648 DDB65648 DMX65648 DWT65648 EGP65648 EQL65648 FAH65648 FKD65648 FTZ65648 GDV65648 GNR65648 GXN65648 HHJ65648 HRF65648 IBB65648 IKX65648 IUT65648 JEP65648 JOL65648 JYH65648 KID65648 KRZ65648 LBV65648 LLR65648 LVN65648 MFJ65648 MPF65648 MZB65648 NIX65648 NST65648 OCP65648 OML65648 OWH65648 PGD65648 PPZ65648 PZV65648 QJR65648 QTN65648 RDJ65648 RNF65648 RXB65648 SGX65648 SQT65648 TAP65648 TKL65648 TUH65648 UED65648 UNZ65648 UXV65648 VHR65648 VRN65648 WBJ65648 WLF65648 WVB65648 IP131184 SL131184 ACH131184 AMD131184 AVZ131184 BFV131184 BPR131184 BZN131184 CJJ131184 CTF131184 DDB131184 DMX131184 DWT131184 EGP131184 EQL131184 FAH131184 FKD131184 FTZ131184 GDV131184 GNR131184 GXN131184 HHJ131184 HRF131184 IBB131184 IKX131184 IUT131184 JEP131184 JOL131184 JYH131184 KID131184 KRZ131184 LBV131184 LLR131184 LVN131184 MFJ131184 MPF131184 MZB131184 NIX131184 NST131184 OCP131184 OML131184 OWH131184 PGD131184 PPZ131184 PZV131184 QJR131184 QTN131184 RDJ131184 RNF131184 RXB131184 SGX131184 SQT131184 TAP131184 TKL131184 TUH131184 UED131184 UNZ131184 UXV131184 VHR131184 VRN131184 WBJ131184 WLF131184 WVB131184 IP196720 SL196720 ACH196720 AMD196720 AVZ196720 BFV196720 BPR196720 BZN196720 CJJ196720 CTF196720 DDB196720 DMX196720 DWT196720 EGP196720 EQL196720 FAH196720 FKD196720 FTZ196720 GDV196720 GNR196720 GXN196720 HHJ196720 HRF196720 IBB196720 IKX196720 IUT196720 JEP196720 JOL196720 JYH196720 KID196720 KRZ196720 LBV196720 LLR196720 LVN196720 MFJ196720 MPF196720 MZB196720 NIX196720 NST196720 OCP196720 OML196720 OWH196720 PGD196720 PPZ196720 PZV196720 QJR196720 QTN196720 RDJ196720 RNF196720 RXB196720 SGX196720 SQT196720 TAP196720 TKL196720 TUH196720 UED196720 UNZ196720 UXV196720 VHR196720 VRN196720 WBJ196720 WLF196720 WVB196720 IP262256 SL262256 ACH262256 AMD262256 AVZ262256 BFV262256 BPR262256 BZN262256 CJJ262256 CTF262256 DDB262256 DMX262256 DWT262256 EGP262256 EQL262256 FAH262256 FKD262256 FTZ262256 GDV262256 GNR262256 GXN262256 HHJ262256 HRF262256 IBB262256 IKX262256 IUT262256 JEP262256 JOL262256 JYH262256 KID262256 KRZ262256 LBV262256 LLR262256 LVN262256 MFJ262256 MPF262256 MZB262256 NIX262256 NST262256 OCP262256 OML262256 OWH262256 PGD262256 PPZ262256 PZV262256 QJR262256 QTN262256 RDJ262256 RNF262256 RXB262256 SGX262256 SQT262256 TAP262256 TKL262256 TUH262256 UED262256 UNZ262256 UXV262256 VHR262256 VRN262256 WBJ262256 WLF262256 WVB262256 IP327792 SL327792 ACH327792 AMD327792 AVZ327792 BFV327792 BPR327792 BZN327792 CJJ327792 CTF327792 DDB327792 DMX327792 DWT327792 EGP327792 EQL327792 FAH327792 FKD327792 FTZ327792 GDV327792 GNR327792 GXN327792 HHJ327792 HRF327792 IBB327792 IKX327792 IUT327792 JEP327792 JOL327792 JYH327792 KID327792 KRZ327792 LBV327792 LLR327792 LVN327792 MFJ327792 MPF327792 MZB327792 NIX327792 NST327792 OCP327792 OML327792 OWH327792 PGD327792 PPZ327792 PZV327792 QJR327792 QTN327792 RDJ327792 RNF327792 RXB327792 SGX327792 SQT327792 TAP327792 TKL327792 TUH327792 UED327792 UNZ327792 UXV327792 VHR327792 VRN327792 WBJ327792 WLF327792 WVB327792 IP393328 SL393328 ACH393328 AMD393328 AVZ393328 BFV393328 BPR393328 BZN393328 CJJ393328 CTF393328 DDB393328 DMX393328 DWT393328 EGP393328 EQL393328 FAH393328 FKD393328 FTZ393328 GDV393328 GNR393328 GXN393328 HHJ393328 HRF393328 IBB393328 IKX393328 IUT393328 JEP393328 JOL393328 JYH393328 KID393328 KRZ393328 LBV393328 LLR393328 LVN393328 MFJ393328 MPF393328 MZB393328 NIX393328 NST393328 OCP393328 OML393328 OWH393328 PGD393328 PPZ393328 PZV393328 QJR393328 QTN393328 RDJ393328 RNF393328 RXB393328 SGX393328 SQT393328 TAP393328 TKL393328 TUH393328 UED393328 UNZ393328 UXV393328 VHR393328 VRN393328 WBJ393328 WLF393328 WVB393328 IP458864 SL458864 ACH458864 AMD458864 AVZ458864 BFV458864 BPR458864 BZN458864 CJJ458864 CTF458864 DDB458864 DMX458864 DWT458864 EGP458864 EQL458864 FAH458864 FKD458864 FTZ458864 GDV458864 GNR458864 GXN458864 HHJ458864 HRF458864 IBB458864 IKX458864 IUT458864 JEP458864 JOL458864 JYH458864 KID458864 KRZ458864 LBV458864 LLR458864 LVN458864 MFJ458864 MPF458864 MZB458864 NIX458864 NST458864 OCP458864 OML458864 OWH458864 PGD458864 PPZ458864 PZV458864 QJR458864 QTN458864 RDJ458864 RNF458864 RXB458864 SGX458864 SQT458864 TAP458864 TKL458864 TUH458864 UED458864 UNZ458864 UXV458864 VHR458864 VRN458864 WBJ458864 WLF458864 WVB458864 IP524400 SL524400 ACH524400 AMD524400 AVZ524400 BFV524400 BPR524400 BZN524400 CJJ524400 CTF524400 DDB524400 DMX524400 DWT524400 EGP524400 EQL524400 FAH524400 FKD524400 FTZ524400 GDV524400 GNR524400 GXN524400 HHJ524400 HRF524400 IBB524400 IKX524400 IUT524400 JEP524400 JOL524400 JYH524400 KID524400 KRZ524400 LBV524400 LLR524400 LVN524400 MFJ524400 MPF524400 MZB524400 NIX524400 NST524400 OCP524400 OML524400 OWH524400 PGD524400 PPZ524400 PZV524400 QJR524400 QTN524400 RDJ524400 RNF524400 RXB524400 SGX524400 SQT524400 TAP524400 TKL524400 TUH524400 UED524400 UNZ524400 UXV524400 VHR524400 VRN524400 WBJ524400 WLF524400 WVB524400 IP589936 SL589936 ACH589936 AMD589936 AVZ589936 BFV589936 BPR589936 BZN589936 CJJ589936 CTF589936 DDB589936 DMX589936 DWT589936 EGP589936 EQL589936 FAH589936 FKD589936 FTZ589936 GDV589936 GNR589936 GXN589936 HHJ589936 HRF589936 IBB589936 IKX589936 IUT589936 JEP589936 JOL589936 JYH589936 KID589936 KRZ589936 LBV589936 LLR589936 LVN589936 MFJ589936 MPF589936 MZB589936 NIX589936 NST589936 OCP589936 OML589936 OWH589936 PGD589936 PPZ589936 PZV589936 QJR589936 QTN589936 RDJ589936 RNF589936 RXB589936 SGX589936 SQT589936 TAP589936 TKL589936 TUH589936 UED589936 UNZ589936 UXV589936 VHR589936 VRN589936 WBJ589936 WLF589936 WVB589936 IP655472 SL655472 ACH655472 AMD655472 AVZ655472 BFV655472 BPR655472 BZN655472 CJJ655472 CTF655472 DDB655472 DMX655472 DWT655472 EGP655472 EQL655472 FAH655472 FKD655472 FTZ655472 GDV655472 GNR655472 GXN655472 HHJ655472 HRF655472 IBB655472 IKX655472 IUT655472 JEP655472 JOL655472 JYH655472 KID655472 KRZ655472 LBV655472 LLR655472 LVN655472 MFJ655472 MPF655472 MZB655472 NIX655472 NST655472 OCP655472 OML655472 OWH655472 PGD655472 PPZ655472 PZV655472 QJR655472 QTN655472 RDJ655472 RNF655472 RXB655472 SGX655472 SQT655472 TAP655472 TKL655472 TUH655472 UED655472 UNZ655472 UXV655472 VHR655472 VRN655472 WBJ655472 WLF655472 WVB655472 IP721008 SL721008 ACH721008 AMD721008 AVZ721008 BFV721008 BPR721008 BZN721008 CJJ721008 CTF721008 DDB721008 DMX721008 DWT721008 EGP721008 EQL721008 FAH721008 FKD721008 FTZ721008 GDV721008 GNR721008 GXN721008 HHJ721008 HRF721008 IBB721008 IKX721008 IUT721008 JEP721008 JOL721008 JYH721008 KID721008 KRZ721008 LBV721008 LLR721008 LVN721008 MFJ721008 MPF721008 MZB721008 NIX721008 NST721008 OCP721008 OML721008 OWH721008 PGD721008 PPZ721008 PZV721008 QJR721008 QTN721008 RDJ721008 RNF721008 RXB721008 SGX721008 SQT721008 TAP721008 TKL721008 TUH721008 UED721008 UNZ721008 UXV721008 VHR721008 VRN721008 WBJ721008 WLF721008 WVB721008 IP786544 SL786544 ACH786544 AMD786544 AVZ786544 BFV786544 BPR786544 BZN786544 CJJ786544 CTF786544 DDB786544 DMX786544 DWT786544 EGP786544 EQL786544 FAH786544 FKD786544 FTZ786544 GDV786544 GNR786544 GXN786544 HHJ786544 HRF786544 IBB786544 IKX786544 IUT786544 JEP786544 JOL786544 JYH786544 KID786544 KRZ786544 LBV786544 LLR786544 LVN786544 MFJ786544 MPF786544 MZB786544 NIX786544 NST786544 OCP786544 OML786544 OWH786544 PGD786544 PPZ786544 PZV786544 QJR786544 QTN786544 RDJ786544 RNF786544 RXB786544 SGX786544 SQT786544 TAP786544 TKL786544 TUH786544 UED786544 UNZ786544 UXV786544 VHR786544 VRN786544 WBJ786544 WLF786544 WVB786544 IP852080 SL852080 ACH852080 AMD852080 AVZ852080 BFV852080 BPR852080 BZN852080 CJJ852080 CTF852080 DDB852080 DMX852080 DWT852080 EGP852080 EQL852080 FAH852080 FKD852080 FTZ852080 GDV852080 GNR852080 GXN852080 HHJ852080 HRF852080 IBB852080 IKX852080 IUT852080 JEP852080 JOL852080 JYH852080 KID852080 KRZ852080 LBV852080 LLR852080 LVN852080 MFJ852080 MPF852080 MZB852080 NIX852080 NST852080 OCP852080 OML852080 OWH852080 PGD852080 PPZ852080 PZV852080 QJR852080 QTN852080 RDJ852080 RNF852080 RXB852080 SGX852080 SQT852080 TAP852080 TKL852080 TUH852080 UED852080 UNZ852080 UXV852080 VHR852080 VRN852080 WBJ852080 WLF852080 WVB852080 IP917616 SL917616 ACH917616 AMD917616 AVZ917616 BFV917616 BPR917616 BZN917616 CJJ917616 CTF917616 DDB917616 DMX917616 DWT917616 EGP917616 EQL917616 FAH917616 FKD917616 FTZ917616 GDV917616 GNR917616 GXN917616 HHJ917616 HRF917616 IBB917616 IKX917616 IUT917616 JEP917616 JOL917616 JYH917616 KID917616 KRZ917616 LBV917616 LLR917616 LVN917616 MFJ917616 MPF917616 MZB917616 NIX917616 NST917616 OCP917616 OML917616 OWH917616 PGD917616 PPZ917616 PZV917616 QJR917616 QTN917616 RDJ917616 RNF917616 RXB917616 SGX917616 SQT917616 TAP917616 TKL917616 TUH917616 UED917616 UNZ917616 UXV917616 VHR917616 VRN917616 WBJ917616 WLF917616 WVB917616 IP983152 SL983152 ACH983152 AMD983152 AVZ983152 BFV983152 BPR983152 BZN983152 CJJ983152 CTF983152 DDB983152 DMX983152 DWT983152 EGP983152 EQL983152 FAH983152 FKD983152 FTZ983152 GDV983152 GNR983152 GXN983152 HHJ983152 HRF983152 IBB983152 IKX983152 IUT983152 JEP983152 JOL983152 JYH983152 KID983152 KRZ983152 LBV983152 LLR983152 LVN983152 MFJ983152 MPF983152 MZB983152 NIX983152 NST983152 OCP983152 OML983152 OWH983152 PGD983152 PPZ983152 PZV983152 QJR983152 QTN983152 RDJ983152 RNF983152 RXB983152 SGX983152 SQT983152 TAP983152 TKL983152 TUH983152 UED983152 UNZ983152 UXV983152 VHR983152 VRN983152 WBJ983152 WLF983152 WVB983152">
      <formula1>"&lt;""""&gt; "</formula1>
      <formula2>0</formula2>
    </dataValidation>
  </dataValidations>
  <pageMargins left="0.98425196850393704" right="0.39370078740157483" top="0.78740157480314965" bottom="0.98425196850393704" header="0.59055118110236227" footer="0.78740157480314965"/>
  <pageSetup paperSize="9" scale="45" firstPageNumber="0" orientation="portrait" r:id="rId1"/>
  <headerFooter alignWithMargins="0">
    <oddHeader>&amp;RPlanilha MODELO LICITANTE</oddHeader>
    <oddFooter>&amp;C&amp;"Arial Narrow,Normal"&amp;A - Página &amp;P</oddFooter>
  </headerFooter>
  <ignoredErrors>
    <ignoredError sqref="G77 G79:G81" formula="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88"/>
  <sheetViews>
    <sheetView tabSelected="1" view="pageBreakPreview" zoomScaleNormal="100" zoomScaleSheetLayoutView="100" workbookViewId="0">
      <selection activeCell="I81" sqref="I81"/>
    </sheetView>
  </sheetViews>
  <sheetFormatPr defaultRowHeight="12.75" x14ac:dyDescent="0.2"/>
  <cols>
    <col min="1" max="1" width="1.7109375" customWidth="1"/>
    <col min="2" max="2" width="44.28515625" customWidth="1"/>
    <col min="3" max="7" width="14.5703125" customWidth="1"/>
  </cols>
  <sheetData>
    <row r="1" spans="2:7" ht="26.25" customHeight="1" x14ac:dyDescent="0.2">
      <c r="B1" s="1153" t="s">
        <v>500</v>
      </c>
      <c r="C1" s="1154"/>
      <c r="D1" s="1154"/>
      <c r="E1" s="1154"/>
      <c r="F1" s="1154"/>
      <c r="G1" s="1155"/>
    </row>
    <row r="2" spans="2:7" ht="38.25" customHeight="1" thickBot="1" x14ac:dyDescent="0.25">
      <c r="B2" s="1156" t="s">
        <v>504</v>
      </c>
      <c r="C2" s="1157"/>
      <c r="D2" s="1157"/>
      <c r="E2" s="1157"/>
      <c r="F2" s="1157"/>
      <c r="G2" s="1158"/>
    </row>
    <row r="3" spans="2:7" ht="38.25" customHeight="1" thickBot="1" x14ac:dyDescent="0.25">
      <c r="B3" s="1159" t="s">
        <v>438</v>
      </c>
      <c r="C3" s="1160"/>
      <c r="D3" s="1160"/>
      <c r="E3" s="1160"/>
      <c r="F3" s="1160"/>
      <c r="G3" s="1161"/>
    </row>
    <row r="4" spans="2:7" x14ac:dyDescent="0.2">
      <c r="B4" s="1162" t="s">
        <v>435</v>
      </c>
      <c r="C4" s="1163"/>
      <c r="D4" s="1163"/>
      <c r="E4" s="1163"/>
      <c r="F4" s="1163"/>
      <c r="G4" s="1164"/>
    </row>
    <row r="5" spans="2:7" ht="12.75" customHeight="1" thickBot="1" x14ac:dyDescent="0.25">
      <c r="B5" s="1165"/>
      <c r="C5" s="1166"/>
      <c r="D5" s="1166"/>
      <c r="E5" s="1166"/>
      <c r="F5" s="1166"/>
      <c r="G5" s="1167"/>
    </row>
    <row r="6" spans="2:7" ht="13.5" customHeight="1" thickBot="1" x14ac:dyDescent="0.25">
      <c r="B6" s="1112" t="s">
        <v>165</v>
      </c>
      <c r="C6" s="1114" t="s">
        <v>164</v>
      </c>
      <c r="D6" s="1116" t="s">
        <v>248</v>
      </c>
      <c r="E6" s="1114" t="s">
        <v>249</v>
      </c>
      <c r="F6" s="1116" t="s">
        <v>250</v>
      </c>
      <c r="G6" s="1118" t="s">
        <v>251</v>
      </c>
    </row>
    <row r="7" spans="2:7" ht="27" customHeight="1" thickBot="1" x14ac:dyDescent="0.25">
      <c r="B7" s="1113"/>
      <c r="C7" s="1115"/>
      <c r="D7" s="1117"/>
      <c r="E7" s="1115"/>
      <c r="F7" s="1117"/>
      <c r="G7" s="1119"/>
    </row>
    <row r="8" spans="2:7" ht="16.5" x14ac:dyDescent="0.3">
      <c r="B8" s="133" t="s">
        <v>163</v>
      </c>
      <c r="C8" s="134">
        <f ca="1">'Quadro Resumo M² - CEARA'!C53</f>
        <v>0.24</v>
      </c>
      <c r="D8" s="135">
        <f>'Quadro Resumo M² - CEARA'!D53</f>
        <v>545.99</v>
      </c>
      <c r="E8" s="533">
        <f t="shared" ref="E8:E13" ca="1" si="0">ROUND(D8*C8,2)</f>
        <v>131.04</v>
      </c>
      <c r="F8" s="135">
        <f>D8*12</f>
        <v>6551.88</v>
      </c>
      <c r="G8" s="536">
        <f ca="1">E8*12</f>
        <v>1572.48</v>
      </c>
    </row>
    <row r="9" spans="2:7" ht="16.5" x14ac:dyDescent="0.3">
      <c r="B9" s="537" t="s">
        <v>161</v>
      </c>
      <c r="C9" s="134">
        <f ca="1">'Quadro Resumo M² - CEARA'!C54</f>
        <v>0.54</v>
      </c>
      <c r="D9" s="135">
        <f>'Quadro Resumo M² - CEARA'!D54</f>
        <v>9223.76</v>
      </c>
      <c r="E9" s="533">
        <f t="shared" ca="1" si="0"/>
        <v>4980.83</v>
      </c>
      <c r="F9" s="135">
        <f t="shared" ref="F9:G13" si="1">D9*12</f>
        <v>110685.12</v>
      </c>
      <c r="G9" s="536">
        <f t="shared" ca="1" si="1"/>
        <v>59769.96</v>
      </c>
    </row>
    <row r="10" spans="2:7" ht="16.5" x14ac:dyDescent="0.3">
      <c r="B10" s="537" t="s">
        <v>413</v>
      </c>
      <c r="C10" s="134">
        <f ca="1">'Quadro Resumo M² - CEARA'!C55</f>
        <v>0.17</v>
      </c>
      <c r="D10" s="135">
        <f>'Quadro Resumo M² - CEARA'!D55</f>
        <v>80.31</v>
      </c>
      <c r="E10" s="533">
        <f t="shared" ca="1" si="0"/>
        <v>13.65</v>
      </c>
      <c r="F10" s="135">
        <f t="shared" si="1"/>
        <v>963.72</v>
      </c>
      <c r="G10" s="536">
        <f t="shared" ca="1" si="1"/>
        <v>163.80000000000001</v>
      </c>
    </row>
    <row r="11" spans="2:7" ht="16.5" x14ac:dyDescent="0.3">
      <c r="B11" s="537" t="s">
        <v>239</v>
      </c>
      <c r="C11" s="134">
        <f ca="1">'Quadro Resumo M² - CEARA'!C56</f>
        <v>24.47</v>
      </c>
      <c r="D11" s="135">
        <f>'Quadro Resumo M² - CEARA'!D56</f>
        <v>43.56</v>
      </c>
      <c r="E11" s="533">
        <f t="shared" ca="1" si="0"/>
        <v>1065.9100000000001</v>
      </c>
      <c r="F11" s="135">
        <f t="shared" si="1"/>
        <v>522.72</v>
      </c>
      <c r="G11" s="536">
        <f t="shared" ca="1" si="1"/>
        <v>12790.92</v>
      </c>
    </row>
    <row r="12" spans="2:7" ht="16.5" x14ac:dyDescent="0.3">
      <c r="B12" s="537" t="s">
        <v>442</v>
      </c>
      <c r="C12" s="134">
        <f ca="1">'Quadro Resumo M² - CEARA'!C57</f>
        <v>24.47</v>
      </c>
      <c r="D12" s="135">
        <f>'Quadro Resumo M² - CEARA'!D57</f>
        <v>0</v>
      </c>
      <c r="E12" s="533">
        <f t="shared" ca="1" si="0"/>
        <v>0</v>
      </c>
      <c r="F12" s="135">
        <f t="shared" si="1"/>
        <v>0</v>
      </c>
      <c r="G12" s="536">
        <f t="shared" ca="1" si="1"/>
        <v>0</v>
      </c>
    </row>
    <row r="13" spans="2:7" ht="16.5" x14ac:dyDescent="0.3">
      <c r="B13" s="537" t="s">
        <v>242</v>
      </c>
      <c r="C13" s="134">
        <f ca="1">'Quadro Resumo M² - CEARA'!C58</f>
        <v>0.41</v>
      </c>
      <c r="D13" s="135">
        <f>'Quadro Resumo M² - CEARA'!D58</f>
        <v>10000</v>
      </c>
      <c r="E13" s="533">
        <f t="shared" ca="1" si="0"/>
        <v>4100</v>
      </c>
      <c r="F13" s="135">
        <f t="shared" si="1"/>
        <v>120000</v>
      </c>
      <c r="G13" s="536">
        <f t="shared" ca="1" si="1"/>
        <v>49200</v>
      </c>
    </row>
    <row r="14" spans="2:7" ht="16.5" x14ac:dyDescent="0.3">
      <c r="B14" s="1168" t="s">
        <v>451</v>
      </c>
      <c r="C14" s="1169"/>
      <c r="D14" s="1169"/>
      <c r="E14" s="1169"/>
      <c r="F14" s="1169"/>
      <c r="G14" s="538">
        <f ca="1">SUM(E8:E13)</f>
        <v>10291.43</v>
      </c>
    </row>
    <row r="15" spans="2:7" ht="17.25" thickBot="1" x14ac:dyDescent="0.35">
      <c r="B15" s="1178" t="s">
        <v>454</v>
      </c>
      <c r="C15" s="1179"/>
      <c r="D15" s="1179"/>
      <c r="E15" s="1179"/>
      <c r="F15" s="1179"/>
      <c r="G15" s="444">
        <f ca="1">G14*12</f>
        <v>123497.16</v>
      </c>
    </row>
    <row r="16" spans="2:7" ht="16.5" x14ac:dyDescent="0.2">
      <c r="B16" s="1134" t="s">
        <v>452</v>
      </c>
      <c r="C16" s="1139"/>
      <c r="D16" s="1139"/>
      <c r="E16" s="1139"/>
      <c r="F16" s="1139"/>
      <c r="G16" s="539">
        <f>'Insumos Diversos'!D136</f>
        <v>0</v>
      </c>
    </row>
    <row r="17" spans="2:7" ht="17.25" thickBot="1" x14ac:dyDescent="0.35">
      <c r="B17" s="989" t="s">
        <v>459</v>
      </c>
      <c r="C17" s="990"/>
      <c r="D17" s="990"/>
      <c r="E17" s="990"/>
      <c r="F17" s="990"/>
      <c r="G17" s="428">
        <f>G16*12</f>
        <v>0</v>
      </c>
    </row>
    <row r="18" spans="2:7" ht="16.5" x14ac:dyDescent="0.3">
      <c r="B18" s="1126" t="s">
        <v>453</v>
      </c>
      <c r="C18" s="1138"/>
      <c r="D18" s="1138"/>
      <c r="E18" s="1138"/>
      <c r="F18" s="1128"/>
      <c r="G18" s="540">
        <f ca="1">'Quadro Resumo M² - CEARA'!C22</f>
        <v>4545</v>
      </c>
    </row>
    <row r="19" spans="2:7" ht="17.25" thickBot="1" x14ac:dyDescent="0.35">
      <c r="B19" s="1129" t="s">
        <v>455</v>
      </c>
      <c r="C19" s="1140"/>
      <c r="D19" s="1140"/>
      <c r="E19" s="1140"/>
      <c r="F19" s="1141"/>
      <c r="G19" s="439">
        <f ca="1">G18*12</f>
        <v>54540</v>
      </c>
    </row>
    <row r="20" spans="2:7" ht="16.5" x14ac:dyDescent="0.3">
      <c r="B20" s="1079" t="s">
        <v>456</v>
      </c>
      <c r="C20" s="1173"/>
      <c r="D20" s="1173"/>
      <c r="E20" s="1173"/>
      <c r="F20" s="1081"/>
      <c r="G20" s="541">
        <f ca="1">SUM(G14,G16,G18)</f>
        <v>14836.43</v>
      </c>
    </row>
    <row r="21" spans="2:7" ht="17.25" thickBot="1" x14ac:dyDescent="0.35">
      <c r="B21" s="1082" t="s">
        <v>457</v>
      </c>
      <c r="C21" s="1083"/>
      <c r="D21" s="1083"/>
      <c r="E21" s="1083"/>
      <c r="F21" s="1083"/>
      <c r="G21" s="445">
        <f ca="1">G20*12</f>
        <v>178037.16</v>
      </c>
    </row>
    <row r="22" spans="2:7" ht="16.5" x14ac:dyDescent="0.2">
      <c r="B22" s="1180" t="s">
        <v>175</v>
      </c>
      <c r="C22" s="1181"/>
      <c r="D22" s="1181"/>
      <c r="E22" s="1181"/>
      <c r="F22" s="1181"/>
      <c r="G22" s="542">
        <f>'Quadro Resumo M² - CEARA'!F14</f>
        <v>2</v>
      </c>
    </row>
    <row r="23" spans="2:7" ht="16.5" x14ac:dyDescent="0.2">
      <c r="B23" s="1142" t="s">
        <v>216</v>
      </c>
      <c r="C23" s="1143"/>
      <c r="D23" s="1143"/>
      <c r="E23" s="1143"/>
      <c r="F23" s="1144"/>
      <c r="G23" s="543">
        <f>'Quadro Resumo M² - CEARA'!F15</f>
        <v>1</v>
      </c>
    </row>
    <row r="24" spans="2:7" ht="16.5" x14ac:dyDescent="0.2">
      <c r="B24" s="1142" t="str">
        <f>'Quadro Resumo M² - CEARA'!B16:E16</f>
        <v>Ajudante de Serviços Diversos</v>
      </c>
      <c r="C24" s="1143"/>
      <c r="D24" s="1143"/>
      <c r="E24" s="1143"/>
      <c r="F24" s="1144"/>
      <c r="G24" s="544">
        <f>'Quadro Resumo M² - CEARA'!F16</f>
        <v>1</v>
      </c>
    </row>
    <row r="25" spans="2:7" ht="17.25" thickBot="1" x14ac:dyDescent="0.25">
      <c r="B25" s="1090" t="s">
        <v>443</v>
      </c>
      <c r="C25" s="1145"/>
      <c r="D25" s="1145"/>
      <c r="E25" s="1145"/>
      <c r="F25" s="1146"/>
      <c r="G25" s="136">
        <f>SUM(G22:G24)</f>
        <v>4</v>
      </c>
    </row>
    <row r="26" spans="2:7" x14ac:dyDescent="0.2">
      <c r="B26" s="1147" t="s">
        <v>423</v>
      </c>
      <c r="C26" s="1148"/>
      <c r="D26" s="1148"/>
      <c r="E26" s="1148"/>
      <c r="F26" s="1148"/>
      <c r="G26" s="1149"/>
    </row>
    <row r="27" spans="2:7" ht="13.5" thickBot="1" x14ac:dyDescent="0.25">
      <c r="B27" s="1150"/>
      <c r="C27" s="1151"/>
      <c r="D27" s="1151"/>
      <c r="E27" s="1151"/>
      <c r="F27" s="1151"/>
      <c r="G27" s="1152"/>
    </row>
    <row r="28" spans="2:7" ht="13.5" thickBot="1" x14ac:dyDescent="0.25">
      <c r="B28" s="1112" t="s">
        <v>165</v>
      </c>
      <c r="C28" s="1114" t="s">
        <v>164</v>
      </c>
      <c r="D28" s="1116" t="s">
        <v>248</v>
      </c>
      <c r="E28" s="1114" t="s">
        <v>249</v>
      </c>
      <c r="F28" s="1116" t="s">
        <v>250</v>
      </c>
      <c r="G28" s="1118" t="s">
        <v>251</v>
      </c>
    </row>
    <row r="29" spans="2:7" ht="27" customHeight="1" thickBot="1" x14ac:dyDescent="0.25">
      <c r="B29" s="1113"/>
      <c r="C29" s="1115"/>
      <c r="D29" s="1117"/>
      <c r="E29" s="1115"/>
      <c r="F29" s="1117"/>
      <c r="G29" s="1119"/>
    </row>
    <row r="30" spans="2:7" ht="16.5" customHeight="1" x14ac:dyDescent="0.3">
      <c r="B30" s="133" t="s">
        <v>163</v>
      </c>
      <c r="C30" s="134">
        <f ca="1">'Quadro Resumo M² - CEBAU'!C63</f>
        <v>0.5</v>
      </c>
      <c r="D30" s="135">
        <f>'Quadro Resumo M² - CEBAU'!D63</f>
        <v>659.73</v>
      </c>
      <c r="E30" s="545">
        <f t="shared" ref="E30:E35" ca="1" si="2">ROUND(D30*C30,2)</f>
        <v>329.87</v>
      </c>
      <c r="F30" s="135">
        <f>D30*12</f>
        <v>7916.76</v>
      </c>
      <c r="G30" s="546">
        <f ca="1">E30*12</f>
        <v>3958.44</v>
      </c>
    </row>
    <row r="31" spans="2:7" ht="16.5" customHeight="1" x14ac:dyDescent="0.3">
      <c r="B31" s="547" t="s">
        <v>161</v>
      </c>
      <c r="C31" s="134">
        <f ca="1">'Quadro Resumo M² - CEBAU'!C64</f>
        <v>0.24</v>
      </c>
      <c r="D31" s="135">
        <f>'Quadro Resumo M² - CEBAU'!D64</f>
        <v>51518.09</v>
      </c>
      <c r="E31" s="545">
        <f t="shared" ca="1" si="2"/>
        <v>12364.34</v>
      </c>
      <c r="F31" s="135">
        <f t="shared" ref="F31:G35" si="3">D31*12</f>
        <v>618217.07999999996</v>
      </c>
      <c r="G31" s="546">
        <f t="shared" ca="1" si="3"/>
        <v>148372.07999999999</v>
      </c>
    </row>
    <row r="32" spans="2:7" ht="16.5" customHeight="1" x14ac:dyDescent="0.3">
      <c r="B32" s="547" t="s">
        <v>413</v>
      </c>
      <c r="C32" s="134">
        <f ca="1">'Quadro Resumo M² - CEBAU'!C65</f>
        <v>0.45</v>
      </c>
      <c r="D32" s="135">
        <f>'Quadro Resumo M² - CEBAU'!D65</f>
        <v>165.42</v>
      </c>
      <c r="E32" s="545">
        <f t="shared" ca="1" si="2"/>
        <v>74.44</v>
      </c>
      <c r="F32" s="135">
        <f t="shared" si="3"/>
        <v>1985.04</v>
      </c>
      <c r="G32" s="546">
        <f t="shared" ca="1" si="3"/>
        <v>893.28</v>
      </c>
    </row>
    <row r="33" spans="2:7" ht="16.5" customHeight="1" x14ac:dyDescent="0.3">
      <c r="B33" s="547" t="s">
        <v>239</v>
      </c>
      <c r="C33" s="134">
        <f ca="1">'Quadro Resumo M² - CEBAU'!C66</f>
        <v>2.0299999999999998</v>
      </c>
      <c r="D33" s="135">
        <f>'Quadro Resumo M² - CEBAU'!D66</f>
        <v>117.49</v>
      </c>
      <c r="E33" s="545">
        <f t="shared" ca="1" si="2"/>
        <v>238.5</v>
      </c>
      <c r="F33" s="135">
        <f t="shared" si="3"/>
        <v>1409.88</v>
      </c>
      <c r="G33" s="546">
        <f t="shared" ca="1" si="3"/>
        <v>2862</v>
      </c>
    </row>
    <row r="34" spans="2:7" ht="16.5" customHeight="1" x14ac:dyDescent="0.3">
      <c r="B34" s="547" t="s">
        <v>412</v>
      </c>
      <c r="C34" s="134">
        <f ca="1">'Quadro Resumo M² - CEBAU'!C67</f>
        <v>0</v>
      </c>
      <c r="D34" s="135">
        <f>'Quadro Resumo M² - CEBAU'!D67</f>
        <v>0</v>
      </c>
      <c r="E34" s="545">
        <f t="shared" ca="1" si="2"/>
        <v>0</v>
      </c>
      <c r="F34" s="135">
        <f t="shared" si="3"/>
        <v>0</v>
      </c>
      <c r="G34" s="546">
        <f t="shared" ca="1" si="3"/>
        <v>0</v>
      </c>
    </row>
    <row r="35" spans="2:7" ht="16.5" customHeight="1" x14ac:dyDescent="0.3">
      <c r="B35" s="548" t="s">
        <v>242</v>
      </c>
      <c r="C35" s="455">
        <f ca="1">'Quadro Resumo M² - CEBAU'!C68</f>
        <v>0.55000000000000004</v>
      </c>
      <c r="D35" s="399">
        <f>'Quadro Resumo M² - CEBAU'!D68</f>
        <v>30896</v>
      </c>
      <c r="E35" s="549">
        <f t="shared" ca="1" si="2"/>
        <v>16992.8</v>
      </c>
      <c r="F35" s="399">
        <f t="shared" si="3"/>
        <v>370752</v>
      </c>
      <c r="G35" s="550">
        <f t="shared" ca="1" si="3"/>
        <v>203913.60000000001</v>
      </c>
    </row>
    <row r="36" spans="2:7" ht="16.5" x14ac:dyDescent="0.2">
      <c r="B36" s="1174" t="s">
        <v>440</v>
      </c>
      <c r="C36" s="1175"/>
      <c r="D36" s="1175"/>
      <c r="E36" s="1175"/>
      <c r="F36" s="1175"/>
      <c r="G36" s="551">
        <f ca="1">SUM(E30:E35)</f>
        <v>29999.95</v>
      </c>
    </row>
    <row r="37" spans="2:7" ht="17.25" thickBot="1" x14ac:dyDescent="0.35">
      <c r="B37" s="1120" t="s">
        <v>454</v>
      </c>
      <c r="C37" s="1121"/>
      <c r="D37" s="1121"/>
      <c r="E37" s="1121"/>
      <c r="F37" s="1122"/>
      <c r="G37" s="444">
        <f ca="1">SUM(G30:G36)</f>
        <v>389999.35</v>
      </c>
    </row>
    <row r="38" spans="2:7" ht="16.5" x14ac:dyDescent="0.3">
      <c r="B38" s="1134" t="s">
        <v>452</v>
      </c>
      <c r="C38" s="1139"/>
      <c r="D38" s="1139"/>
      <c r="E38" s="1139"/>
      <c r="F38" s="1139"/>
      <c r="G38" s="552">
        <f>'Insumos Diversos'!F136</f>
        <v>0</v>
      </c>
    </row>
    <row r="39" spans="2:7" ht="17.25" thickBot="1" x14ac:dyDescent="0.35">
      <c r="B39" s="989" t="s">
        <v>459</v>
      </c>
      <c r="C39" s="990"/>
      <c r="D39" s="990"/>
      <c r="E39" s="990"/>
      <c r="F39" s="990"/>
      <c r="G39" s="449">
        <f>G38*12</f>
        <v>0</v>
      </c>
    </row>
    <row r="40" spans="2:7" ht="16.5" x14ac:dyDescent="0.3">
      <c r="B40" s="1126" t="s">
        <v>453</v>
      </c>
      <c r="C40" s="1138"/>
      <c r="D40" s="1138"/>
      <c r="E40" s="1138"/>
      <c r="F40" s="1128"/>
      <c r="G40" s="540">
        <f ca="1">'Quadro Resumo M² - CEBAU'!C25</f>
        <v>13199.4</v>
      </c>
    </row>
    <row r="41" spans="2:7" ht="17.25" thickBot="1" x14ac:dyDescent="0.35">
      <c r="B41" s="1129" t="s">
        <v>455</v>
      </c>
      <c r="C41" s="1130"/>
      <c r="D41" s="1130"/>
      <c r="E41" s="1130"/>
      <c r="F41" s="1131"/>
      <c r="G41" s="451">
        <f ca="1">G40*12</f>
        <v>158392.79999999999</v>
      </c>
    </row>
    <row r="42" spans="2:7" ht="16.5" x14ac:dyDescent="0.3">
      <c r="B42" s="1079" t="s">
        <v>456</v>
      </c>
      <c r="C42" s="1173"/>
      <c r="D42" s="1173"/>
      <c r="E42" s="1173"/>
      <c r="F42" s="1081"/>
      <c r="G42" s="553">
        <f ca="1">SUM(G36,G38,G40)</f>
        <v>43199.35</v>
      </c>
    </row>
    <row r="43" spans="2:7" ht="17.25" thickBot="1" x14ac:dyDescent="0.35">
      <c r="B43" s="1082" t="s">
        <v>457</v>
      </c>
      <c r="C43" s="1083"/>
      <c r="D43" s="1083"/>
      <c r="E43" s="1083"/>
      <c r="F43" s="1083"/>
      <c r="G43" s="450">
        <f ca="1">G42*12</f>
        <v>518392.2</v>
      </c>
    </row>
    <row r="44" spans="2:7" ht="16.5" x14ac:dyDescent="0.2">
      <c r="B44" s="1176" t="str">
        <f>'Quadro Resumo M² - CEBAU'!B14</f>
        <v>Agente de Higienização</v>
      </c>
      <c r="C44" s="1177"/>
      <c r="D44" s="1177"/>
      <c r="E44" s="1177"/>
      <c r="F44" s="1177"/>
      <c r="G44" s="542">
        <f>'Quadro Resumo M² - CEBAU'!F14</f>
        <v>9</v>
      </c>
    </row>
    <row r="45" spans="2:7" ht="16.5" x14ac:dyDescent="0.2">
      <c r="B45" s="1170" t="str">
        <f>'Quadro Resumo M² - CEBAU'!B15</f>
        <v>Jardineiro</v>
      </c>
      <c r="C45" s="1171"/>
      <c r="D45" s="1171"/>
      <c r="E45" s="1171"/>
      <c r="F45" s="1172"/>
      <c r="G45" s="452">
        <f>'Quadro Resumo M² - CEBAU'!F15</f>
        <v>1</v>
      </c>
    </row>
    <row r="46" spans="2:7" ht="16.5" x14ac:dyDescent="0.2">
      <c r="B46" s="1170" t="str">
        <f>'Quadro Resumo M² - CEBAU'!B16</f>
        <v>Tratorista</v>
      </c>
      <c r="C46" s="1171"/>
      <c r="D46" s="1171"/>
      <c r="E46" s="1171"/>
      <c r="F46" s="1172"/>
      <c r="G46" s="452">
        <f>'Quadro Resumo M² - CEBAU'!F16</f>
        <v>1</v>
      </c>
    </row>
    <row r="47" spans="2:7" ht="16.5" x14ac:dyDescent="0.2">
      <c r="B47" s="1170" t="str">
        <f>'Quadro Resumo M² - CEBAU'!B17</f>
        <v>Ajudante de Serviços Diversos</v>
      </c>
      <c r="C47" s="1171"/>
      <c r="D47" s="1171"/>
      <c r="E47" s="1171"/>
      <c r="F47" s="1172"/>
      <c r="G47" s="452">
        <f>'Quadro Resumo M² - CEBAU'!F17</f>
        <v>3</v>
      </c>
    </row>
    <row r="48" spans="2:7" ht="16.5" x14ac:dyDescent="0.2">
      <c r="B48" s="1136" t="str">
        <f>'Quadro Resumo M² - CEBAU'!B18:E18</f>
        <v>Encarregado</v>
      </c>
      <c r="C48" s="1137"/>
      <c r="D48" s="1137"/>
      <c r="E48" s="1137"/>
      <c r="F48" s="1137"/>
      <c r="G48" s="554">
        <f>'Quadro Resumo M² - CEBAU'!F18</f>
        <v>1</v>
      </c>
    </row>
    <row r="49" spans="2:7" ht="17.25" thickBot="1" x14ac:dyDescent="0.25">
      <c r="B49" s="1104" t="s">
        <v>472</v>
      </c>
      <c r="C49" s="1105"/>
      <c r="D49" s="1105"/>
      <c r="E49" s="1105"/>
      <c r="F49" s="1105"/>
      <c r="G49" s="136">
        <f>SUM(G44:G48)</f>
        <v>15</v>
      </c>
    </row>
    <row r="50" spans="2:7" x14ac:dyDescent="0.2">
      <c r="B50" s="1106" t="s">
        <v>476</v>
      </c>
      <c r="C50" s="1107"/>
      <c r="D50" s="1107"/>
      <c r="E50" s="1107"/>
      <c r="F50" s="1107"/>
      <c r="G50" s="1108"/>
    </row>
    <row r="51" spans="2:7" ht="13.5" thickBot="1" x14ac:dyDescent="0.25">
      <c r="B51" s="1109"/>
      <c r="C51" s="1110"/>
      <c r="D51" s="1110"/>
      <c r="E51" s="1110"/>
      <c r="F51" s="1110"/>
      <c r="G51" s="1111"/>
    </row>
    <row r="52" spans="2:7" ht="13.5" thickBot="1" x14ac:dyDescent="0.25">
      <c r="B52" s="1112" t="s">
        <v>165</v>
      </c>
      <c r="C52" s="1114" t="s">
        <v>164</v>
      </c>
      <c r="D52" s="1116" t="s">
        <v>248</v>
      </c>
      <c r="E52" s="1114" t="s">
        <v>249</v>
      </c>
      <c r="F52" s="1116" t="s">
        <v>250</v>
      </c>
      <c r="G52" s="1118" t="s">
        <v>251</v>
      </c>
    </row>
    <row r="53" spans="2:7" ht="27" customHeight="1" thickBot="1" x14ac:dyDescent="0.25">
      <c r="B53" s="1113"/>
      <c r="C53" s="1115"/>
      <c r="D53" s="1117"/>
      <c r="E53" s="1115"/>
      <c r="F53" s="1117"/>
      <c r="G53" s="1119"/>
    </row>
    <row r="54" spans="2:7" ht="16.5" x14ac:dyDescent="0.3">
      <c r="B54" s="133" t="s">
        <v>163</v>
      </c>
      <c r="C54" s="134">
        <f ca="1">'Quadro Resumo M² - CERIB'!C69</f>
        <v>0.61</v>
      </c>
      <c r="D54" s="135">
        <f>'Quadro Resumo M² - CERIB'!D69</f>
        <v>1571.78</v>
      </c>
      <c r="E54" s="545">
        <f t="shared" ref="E54:E59" ca="1" si="4">ROUND(D54*C54,2)</f>
        <v>958.79</v>
      </c>
      <c r="F54" s="135">
        <f>D54*12</f>
        <v>18861.36</v>
      </c>
      <c r="G54" s="546">
        <f ca="1">E54*12</f>
        <v>11505.48</v>
      </c>
    </row>
    <row r="55" spans="2:7" ht="16.5" x14ac:dyDescent="0.3">
      <c r="B55" s="547" t="s">
        <v>161</v>
      </c>
      <c r="C55" s="134">
        <f ca="1">'Quadro Resumo M² - CERIB'!C70</f>
        <v>1.28</v>
      </c>
      <c r="D55" s="135">
        <f>'Quadro Resumo M² - CERIB'!D70</f>
        <v>93012.78</v>
      </c>
      <c r="E55" s="545">
        <f t="shared" ca="1" si="4"/>
        <v>119056.36</v>
      </c>
      <c r="F55" s="135">
        <f t="shared" ref="F55:G59" si="5">D55*12</f>
        <v>1116153.3600000001</v>
      </c>
      <c r="G55" s="546">
        <f t="shared" ca="1" si="5"/>
        <v>1428676.32</v>
      </c>
    </row>
    <row r="56" spans="2:7" ht="16.5" x14ac:dyDescent="0.3">
      <c r="B56" s="547" t="s">
        <v>439</v>
      </c>
      <c r="C56" s="134">
        <f ca="1">'Quadro Resumo M² - CERIB'!C71</f>
        <v>0.36</v>
      </c>
      <c r="D56" s="135">
        <f>'Quadro Resumo M² - CERIB'!D71</f>
        <v>155.66999999999999</v>
      </c>
      <c r="E56" s="545">
        <f t="shared" ca="1" si="4"/>
        <v>56.04</v>
      </c>
      <c r="F56" s="135">
        <f t="shared" si="5"/>
        <v>1868.04</v>
      </c>
      <c r="G56" s="546">
        <f t="shared" ca="1" si="5"/>
        <v>672.48</v>
      </c>
    </row>
    <row r="57" spans="2:7" ht="16.5" x14ac:dyDescent="0.3">
      <c r="B57" s="547" t="s">
        <v>239</v>
      </c>
      <c r="C57" s="134">
        <f ca="1">'Quadro Resumo M² - CERIB'!C72</f>
        <v>2.4700000000000002</v>
      </c>
      <c r="D57" s="135">
        <f>'Quadro Resumo M² - CERIB'!D72</f>
        <v>200.48</v>
      </c>
      <c r="E57" s="545">
        <f t="shared" ca="1" si="4"/>
        <v>495.19</v>
      </c>
      <c r="F57" s="135">
        <f t="shared" si="5"/>
        <v>2405.7600000000002</v>
      </c>
      <c r="G57" s="546">
        <f t="shared" ca="1" si="5"/>
        <v>5942.28</v>
      </c>
    </row>
    <row r="58" spans="2:7" ht="16.5" x14ac:dyDescent="0.3">
      <c r="B58" s="547" t="s">
        <v>441</v>
      </c>
      <c r="C58" s="134">
        <f ca="1">'Quadro Resumo M² - CERIB'!C73</f>
        <v>0</v>
      </c>
      <c r="D58" s="135">
        <f>'Quadro Resumo M² - CERIB'!D73</f>
        <v>0</v>
      </c>
      <c r="E58" s="545">
        <f t="shared" ca="1" si="4"/>
        <v>0</v>
      </c>
      <c r="F58" s="135">
        <f t="shared" si="5"/>
        <v>0</v>
      </c>
      <c r="G58" s="546">
        <f t="shared" ca="1" si="5"/>
        <v>0</v>
      </c>
    </row>
    <row r="59" spans="2:7" ht="16.5" x14ac:dyDescent="0.3">
      <c r="B59" s="548" t="s">
        <v>242</v>
      </c>
      <c r="C59" s="455">
        <f ca="1">'Quadro Resumo M² - CERIB'!C74</f>
        <v>0.28999999999999998</v>
      </c>
      <c r="D59" s="399">
        <f>'Quadro Resumo M² - CERIB'!D74</f>
        <v>115836</v>
      </c>
      <c r="E59" s="549">
        <f t="shared" ca="1" si="4"/>
        <v>33592.44</v>
      </c>
      <c r="F59" s="399">
        <f t="shared" si="5"/>
        <v>1390032</v>
      </c>
      <c r="G59" s="550">
        <f t="shared" ca="1" si="5"/>
        <v>403109.28</v>
      </c>
    </row>
    <row r="60" spans="2:7" ht="16.5" x14ac:dyDescent="0.3">
      <c r="B60" s="1132" t="s">
        <v>440</v>
      </c>
      <c r="C60" s="1133"/>
      <c r="D60" s="1133"/>
      <c r="E60" s="1133"/>
      <c r="F60" s="1133"/>
      <c r="G60" s="555">
        <f ca="1">SUM(E54:E59)</f>
        <v>154158.82</v>
      </c>
    </row>
    <row r="61" spans="2:7" ht="17.25" thickBot="1" x14ac:dyDescent="0.35">
      <c r="B61" s="1120" t="s">
        <v>454</v>
      </c>
      <c r="C61" s="1121"/>
      <c r="D61" s="1121"/>
      <c r="E61" s="1121"/>
      <c r="F61" s="1122"/>
      <c r="G61" s="400">
        <f ca="1">G60*12</f>
        <v>1849905.84</v>
      </c>
    </row>
    <row r="62" spans="2:7" ht="16.5" x14ac:dyDescent="0.3">
      <c r="B62" s="1134" t="s">
        <v>452</v>
      </c>
      <c r="C62" s="1135"/>
      <c r="D62" s="1135"/>
      <c r="E62" s="1135"/>
      <c r="F62" s="1135"/>
      <c r="G62" s="552">
        <f>'Quadro Resumo M² - CERIB'!G77</f>
        <v>0</v>
      </c>
    </row>
    <row r="63" spans="2:7" ht="17.25" thickBot="1" x14ac:dyDescent="0.35">
      <c r="B63" s="989" t="s">
        <v>459</v>
      </c>
      <c r="C63" s="990"/>
      <c r="D63" s="990"/>
      <c r="E63" s="990"/>
      <c r="F63" s="990"/>
      <c r="G63" s="449">
        <f>G62*12</f>
        <v>0</v>
      </c>
    </row>
    <row r="64" spans="2:7" ht="16.5" x14ac:dyDescent="0.3">
      <c r="B64" s="1126" t="s">
        <v>453</v>
      </c>
      <c r="C64" s="1127"/>
      <c r="D64" s="1127"/>
      <c r="E64" s="1127"/>
      <c r="F64" s="1128"/>
      <c r="G64" s="540">
        <f ca="1">'Quadro Resumo M² - CERIB'!C29</f>
        <v>8799.6</v>
      </c>
    </row>
    <row r="65" spans="2:7" ht="17.25" thickBot="1" x14ac:dyDescent="0.35">
      <c r="B65" s="1129" t="s">
        <v>455</v>
      </c>
      <c r="C65" s="1130"/>
      <c r="D65" s="1130"/>
      <c r="E65" s="1130"/>
      <c r="F65" s="1131"/>
      <c r="G65" s="451">
        <f ca="1">G64*12</f>
        <v>105595.2</v>
      </c>
    </row>
    <row r="66" spans="2:7" ht="16.5" x14ac:dyDescent="0.3">
      <c r="B66" s="1079" t="s">
        <v>456</v>
      </c>
      <c r="C66" s="1080"/>
      <c r="D66" s="1080"/>
      <c r="E66" s="1080"/>
      <c r="F66" s="1081"/>
      <c r="G66" s="553">
        <f ca="1">SUM(G60,G62,G64)</f>
        <v>162958.42000000001</v>
      </c>
    </row>
    <row r="67" spans="2:7" ht="17.25" thickBot="1" x14ac:dyDescent="0.35">
      <c r="B67" s="1082" t="s">
        <v>457</v>
      </c>
      <c r="C67" s="1083"/>
      <c r="D67" s="1083"/>
      <c r="E67" s="1083"/>
      <c r="F67" s="1083"/>
      <c r="G67" s="450">
        <f ca="1">G66*12</f>
        <v>1955501.04</v>
      </c>
    </row>
    <row r="68" spans="2:7" ht="16.5" x14ac:dyDescent="0.2">
      <c r="B68" s="1123" t="str">
        <f>'Quadro Resumo M² - CERIB'!B14</f>
        <v>Agente de Higienização</v>
      </c>
      <c r="C68" s="1124"/>
      <c r="D68" s="1124"/>
      <c r="E68" s="1124"/>
      <c r="F68" s="1125"/>
      <c r="G68" s="556">
        <f>'Quadro Resumo M² - CERIB'!F14</f>
        <v>18</v>
      </c>
    </row>
    <row r="69" spans="2:7" ht="16.5" x14ac:dyDescent="0.2">
      <c r="B69" s="1087" t="str">
        <f>'Quadro Resumo M² - CERIB'!B15</f>
        <v>Jardineiro</v>
      </c>
      <c r="C69" s="1088"/>
      <c r="D69" s="1088"/>
      <c r="E69" s="1088"/>
      <c r="F69" s="1089"/>
      <c r="G69" s="557">
        <f>'Quadro Resumo M² - CERIB'!F15</f>
        <v>1</v>
      </c>
    </row>
    <row r="70" spans="2:7" ht="16.5" x14ac:dyDescent="0.2">
      <c r="B70" s="1087" t="str">
        <f>'Quadro Resumo M² - CERIB'!B16</f>
        <v>Tratorista</v>
      </c>
      <c r="C70" s="1088"/>
      <c r="D70" s="1088"/>
      <c r="E70" s="1088"/>
      <c r="F70" s="1089"/>
      <c r="G70" s="557">
        <f>'Quadro Resumo M² - CERIB'!F16</f>
        <v>1</v>
      </c>
    </row>
    <row r="71" spans="2:7" ht="16.5" x14ac:dyDescent="0.2">
      <c r="B71" s="1087" t="str">
        <f>'Quadro Resumo M² - CERIB'!B17</f>
        <v>Ajudante de Tratorista</v>
      </c>
      <c r="C71" s="1088"/>
      <c r="D71" s="1088"/>
      <c r="E71" s="1088"/>
      <c r="F71" s="1089"/>
      <c r="G71" s="557">
        <f>'Quadro Resumo M² - CERIB'!F17</f>
        <v>1</v>
      </c>
    </row>
    <row r="72" spans="2:7" ht="16.5" x14ac:dyDescent="0.2">
      <c r="B72" s="1087" t="str">
        <f>'Quadro Resumo M² - CERIB'!B18</f>
        <v>Buerista</v>
      </c>
      <c r="C72" s="1088"/>
      <c r="D72" s="1088"/>
      <c r="E72" s="1088"/>
      <c r="F72" s="1089"/>
      <c r="G72" s="557">
        <f>'Quadro Resumo M² - CERIB'!F18</f>
        <v>1</v>
      </c>
    </row>
    <row r="73" spans="2:7" ht="16.5" x14ac:dyDescent="0.2">
      <c r="B73" s="1087" t="str">
        <f>'Quadro Resumo M² - CERIB'!B19</f>
        <v>Ajudante de Serviços Diversos</v>
      </c>
      <c r="C73" s="1088"/>
      <c r="D73" s="1088"/>
      <c r="E73" s="1088"/>
      <c r="F73" s="1089"/>
      <c r="G73" s="557">
        <f>'Quadro Resumo M² - CERIB'!F19</f>
        <v>2</v>
      </c>
    </row>
    <row r="74" spans="2:7" ht="16.5" x14ac:dyDescent="0.2">
      <c r="B74" s="1087" t="str">
        <f>'Quadro Resumo M² - CERIB'!B20</f>
        <v>Encarregado de Limpeza</v>
      </c>
      <c r="C74" s="1088"/>
      <c r="D74" s="1088"/>
      <c r="E74" s="1088"/>
      <c r="F74" s="1089"/>
      <c r="G74" s="557">
        <f>'Quadro Resumo M² - CERIB'!F20</f>
        <v>1</v>
      </c>
    </row>
    <row r="75" spans="2:7" ht="17.25" thickBot="1" x14ac:dyDescent="0.25">
      <c r="B75" s="1090" t="s">
        <v>472</v>
      </c>
      <c r="C75" s="1091"/>
      <c r="D75" s="1091"/>
      <c r="E75" s="1091"/>
      <c r="F75" s="1092"/>
      <c r="G75" s="136">
        <f>SUM(G68:G74)</f>
        <v>25</v>
      </c>
    </row>
    <row r="76" spans="2:7" ht="16.5" x14ac:dyDescent="0.2">
      <c r="B76" s="1093"/>
      <c r="C76" s="1094"/>
      <c r="D76" s="1094"/>
      <c r="E76" s="1094"/>
      <c r="F76" s="1094"/>
      <c r="G76" s="1095"/>
    </row>
    <row r="77" spans="2:7" ht="16.5" x14ac:dyDescent="0.3">
      <c r="B77" s="1096" t="s">
        <v>492</v>
      </c>
      <c r="C77" s="1097"/>
      <c r="D77" s="1097"/>
      <c r="E77" s="1097"/>
      <c r="F77" s="1097"/>
      <c r="G77" s="558">
        <f ca="1">SUM(G21+G43+G67)</f>
        <v>2651930.4</v>
      </c>
    </row>
    <row r="78" spans="2:7" ht="16.5" x14ac:dyDescent="0.2">
      <c r="B78" s="1096" t="s">
        <v>493</v>
      </c>
      <c r="C78" s="1097"/>
      <c r="D78" s="1097"/>
      <c r="E78" s="1097"/>
      <c r="F78" s="1097"/>
      <c r="G78" s="559">
        <f>SUM(G22,G44,G68)</f>
        <v>29</v>
      </c>
    </row>
    <row r="79" spans="2:7" ht="16.5" x14ac:dyDescent="0.2">
      <c r="B79" s="1096" t="s">
        <v>494</v>
      </c>
      <c r="C79" s="1097"/>
      <c r="D79" s="1097"/>
      <c r="E79" s="1097"/>
      <c r="F79" s="1097"/>
      <c r="G79" s="559">
        <f>SUM(G23,G45,G69)</f>
        <v>3</v>
      </c>
    </row>
    <row r="80" spans="2:7" ht="16.5" x14ac:dyDescent="0.2">
      <c r="B80" s="1096" t="s">
        <v>495</v>
      </c>
      <c r="C80" s="1097"/>
      <c r="D80" s="1097"/>
      <c r="E80" s="1097"/>
      <c r="F80" s="1097"/>
      <c r="G80" s="559">
        <f>SUM(G45,G71)</f>
        <v>2</v>
      </c>
    </row>
    <row r="81" spans="2:8" ht="16.5" x14ac:dyDescent="0.2">
      <c r="B81" s="1096" t="s">
        <v>496</v>
      </c>
      <c r="C81" s="1097"/>
      <c r="D81" s="1097"/>
      <c r="E81" s="1097"/>
      <c r="F81" s="1097"/>
      <c r="G81" s="559">
        <f>SUM(G71)</f>
        <v>1</v>
      </c>
    </row>
    <row r="82" spans="2:8" ht="16.5" x14ac:dyDescent="0.2">
      <c r="B82" s="1096" t="s">
        <v>497</v>
      </c>
      <c r="C82" s="1097"/>
      <c r="D82" s="1097"/>
      <c r="E82" s="1097"/>
      <c r="F82" s="1097"/>
      <c r="G82" s="559">
        <f>SUM(G72)</f>
        <v>1</v>
      </c>
    </row>
    <row r="83" spans="2:8" ht="16.5" x14ac:dyDescent="0.2">
      <c r="B83" s="1096" t="s">
        <v>498</v>
      </c>
      <c r="C83" s="1097"/>
      <c r="D83" s="1097"/>
      <c r="E83" s="1097"/>
      <c r="F83" s="1097"/>
      <c r="G83" s="559">
        <f>SUM(G24,G47,G73)</f>
        <v>6</v>
      </c>
    </row>
    <row r="84" spans="2:8" ht="17.25" thickBot="1" x14ac:dyDescent="0.25">
      <c r="B84" s="1098" t="s">
        <v>499</v>
      </c>
      <c r="C84" s="1099"/>
      <c r="D84" s="1099"/>
      <c r="E84" s="1099"/>
      <c r="F84" s="1099"/>
      <c r="G84" s="560">
        <f>SUM(G48,G74)</f>
        <v>2</v>
      </c>
      <c r="H84" s="532">
        <f>SUM(G78:G84)</f>
        <v>44</v>
      </c>
    </row>
    <row r="85" spans="2:8" ht="16.5" x14ac:dyDescent="0.3">
      <c r="B85" s="534" t="s">
        <v>160</v>
      </c>
      <c r="C85" s="58"/>
      <c r="D85" s="58"/>
      <c r="E85" s="58"/>
      <c r="F85" s="58"/>
      <c r="G85" s="535"/>
    </row>
    <row r="86" spans="2:8" ht="16.5" x14ac:dyDescent="0.2">
      <c r="B86" s="1100"/>
      <c r="C86" s="1003"/>
      <c r="D86" s="1003"/>
      <c r="E86" s="1003"/>
      <c r="F86" s="1003"/>
      <c r="G86" s="1101"/>
    </row>
    <row r="87" spans="2:8" ht="16.5" x14ac:dyDescent="0.2">
      <c r="B87" s="1102"/>
      <c r="C87" s="1012"/>
      <c r="D87" s="1012"/>
      <c r="E87" s="1012"/>
      <c r="F87" s="1012"/>
      <c r="G87" s="1103"/>
    </row>
    <row r="88" spans="2:8" ht="16.5" x14ac:dyDescent="0.2">
      <c r="B88" s="1084"/>
      <c r="C88" s="1085"/>
      <c r="D88" s="1085"/>
      <c r="E88" s="1085"/>
      <c r="F88" s="1085"/>
      <c r="G88" s="1086"/>
    </row>
  </sheetData>
  <mergeCells count="78">
    <mergeCell ref="B14:F14"/>
    <mergeCell ref="F28:F29"/>
    <mergeCell ref="B47:F47"/>
    <mergeCell ref="B45:F45"/>
    <mergeCell ref="B46:F46"/>
    <mergeCell ref="B20:F20"/>
    <mergeCell ref="B36:F36"/>
    <mergeCell ref="B38:F38"/>
    <mergeCell ref="B44:F44"/>
    <mergeCell ref="B39:F39"/>
    <mergeCell ref="B42:F42"/>
    <mergeCell ref="B43:F43"/>
    <mergeCell ref="B28:B29"/>
    <mergeCell ref="C28:C29"/>
    <mergeCell ref="B15:F15"/>
    <mergeCell ref="B22:F22"/>
    <mergeCell ref="B1:G1"/>
    <mergeCell ref="B2:G2"/>
    <mergeCell ref="B3:G3"/>
    <mergeCell ref="D6:D7"/>
    <mergeCell ref="E6:E7"/>
    <mergeCell ref="F6:F7"/>
    <mergeCell ref="G6:G7"/>
    <mergeCell ref="B4:G5"/>
    <mergeCell ref="B6:B7"/>
    <mergeCell ref="C6:C7"/>
    <mergeCell ref="B17:F17"/>
    <mergeCell ref="B16:F16"/>
    <mergeCell ref="B18:F18"/>
    <mergeCell ref="B19:F19"/>
    <mergeCell ref="G28:G29"/>
    <mergeCell ref="B23:F23"/>
    <mergeCell ref="B25:F25"/>
    <mergeCell ref="B26:G27"/>
    <mergeCell ref="B24:F24"/>
    <mergeCell ref="B21:F21"/>
    <mergeCell ref="B37:F37"/>
    <mergeCell ref="D28:D29"/>
    <mergeCell ref="E28:E29"/>
    <mergeCell ref="B40:F40"/>
    <mergeCell ref="B41:F41"/>
    <mergeCell ref="B65:F65"/>
    <mergeCell ref="B60:F60"/>
    <mergeCell ref="B62:F62"/>
    <mergeCell ref="B48:F48"/>
    <mergeCell ref="B63:F63"/>
    <mergeCell ref="B79:F79"/>
    <mergeCell ref="B81:F81"/>
    <mergeCell ref="B49:F49"/>
    <mergeCell ref="B70:F70"/>
    <mergeCell ref="B50:G51"/>
    <mergeCell ref="B52:B53"/>
    <mergeCell ref="C52:C53"/>
    <mergeCell ref="D52:D53"/>
    <mergeCell ref="E52:E53"/>
    <mergeCell ref="F52:F53"/>
    <mergeCell ref="G52:G53"/>
    <mergeCell ref="B61:F61"/>
    <mergeCell ref="B68:F68"/>
    <mergeCell ref="B69:F69"/>
    <mergeCell ref="B80:F80"/>
    <mergeCell ref="B64:F64"/>
    <mergeCell ref="B66:F66"/>
    <mergeCell ref="B67:F67"/>
    <mergeCell ref="B88:G88"/>
    <mergeCell ref="B71:F71"/>
    <mergeCell ref="B74:F74"/>
    <mergeCell ref="B75:F75"/>
    <mergeCell ref="B76:G76"/>
    <mergeCell ref="B77:F77"/>
    <mergeCell ref="B78:F78"/>
    <mergeCell ref="B82:F82"/>
    <mergeCell ref="B83:F83"/>
    <mergeCell ref="B84:F84"/>
    <mergeCell ref="B86:G86"/>
    <mergeCell ref="B87:G87"/>
    <mergeCell ref="B72:F72"/>
    <mergeCell ref="B73:F73"/>
  </mergeCells>
  <printOptions horizontalCentered="1"/>
  <pageMargins left="0.51181102362204722" right="0.51181102362204722" top="0.78740157480314965" bottom="0.78740157480314965" header="0.31496062992125984" footer="0.31496062992125984"/>
  <pageSetup paperSize="9" scale="48" orientation="portrait" r:id="rId1"/>
  <colBreaks count="1" manualBreakCount="1">
    <brk id="7" max="1048575" man="1"/>
  </colBreaks>
  <ignoredErrors>
    <ignoredError sqref="G16 G38 G62 G18:G20 G40:G42 G64:G6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22</vt:i4>
      </vt:variant>
      <vt:variant>
        <vt:lpstr>Intervalos nomeados</vt:lpstr>
      </vt:variant>
      <vt:variant>
        <vt:i4>21</vt:i4>
      </vt:variant>
    </vt:vector>
  </HeadingPairs>
  <TitlesOfParts>
    <vt:vector size="43" baseType="lpstr">
      <vt:lpstr>Observações</vt:lpstr>
      <vt:lpstr>Uniformes e EPI's</vt:lpstr>
      <vt:lpstr>Insumos Diversos</vt:lpstr>
      <vt:lpstr>Agente de Higienização_CEARA</vt:lpstr>
      <vt:lpstr>Jardineiro_CEARA</vt:lpstr>
      <vt:lpstr>Ajud. de Serv. Diversos_CEARA</vt:lpstr>
      <vt:lpstr>Quadro Resumo M² - CEARA</vt:lpstr>
      <vt:lpstr>Agente de Higienização_CEBAU</vt:lpstr>
      <vt:lpstr>Jardineiro_CEBAU</vt:lpstr>
      <vt:lpstr>Tratorista_CEBAU</vt:lpstr>
      <vt:lpstr>Ajud. de Serv. Diversos_CEBAU</vt:lpstr>
      <vt:lpstr>Encarregado_CEBAU</vt:lpstr>
      <vt:lpstr>Quadro Resumo M² - CEBAU</vt:lpstr>
      <vt:lpstr>Agente de Higienização_CERIB</vt:lpstr>
      <vt:lpstr>Jardineiro_CERIB</vt:lpstr>
      <vt:lpstr>Tratorista_CERIB</vt:lpstr>
      <vt:lpstr>Ajudante de Tratorista_CERIB</vt:lpstr>
      <vt:lpstr>Buerista_CERIB</vt:lpstr>
      <vt:lpstr>Ajud. de Serv. Diversos_CERIB</vt:lpstr>
      <vt:lpstr>Encarregado_CERIB</vt:lpstr>
      <vt:lpstr>Quadro Resumo M² - CERIB</vt:lpstr>
      <vt:lpstr>Quadro Resumo Geral M²</vt:lpstr>
      <vt:lpstr>'Agente de Higienização_CEARA'!Area_de_impressao</vt:lpstr>
      <vt:lpstr>'Agente de Higienização_CEBAU'!Area_de_impressao</vt:lpstr>
      <vt:lpstr>'Agente de Higienização_CERIB'!Area_de_impressao</vt:lpstr>
      <vt:lpstr>'Ajud. de Serv. Diversos_CEARA'!Area_de_impressao</vt:lpstr>
      <vt:lpstr>'Ajud. de Serv. Diversos_CEBAU'!Area_de_impressao</vt:lpstr>
      <vt:lpstr>'Ajud. de Serv. Diversos_CERIB'!Area_de_impressao</vt:lpstr>
      <vt:lpstr>'Ajudante de Tratorista_CERIB'!Area_de_impressao</vt:lpstr>
      <vt:lpstr>Buerista_CERIB!Area_de_impressao</vt:lpstr>
      <vt:lpstr>Encarregado_CEBAU!Area_de_impressao</vt:lpstr>
      <vt:lpstr>Encarregado_CERIB!Area_de_impressao</vt:lpstr>
      <vt:lpstr>'Insumos Diversos'!Area_de_impressao</vt:lpstr>
      <vt:lpstr>Jardineiro_CEARA!Area_de_impressao</vt:lpstr>
      <vt:lpstr>Jardineiro_CEBAU!Area_de_impressao</vt:lpstr>
      <vt:lpstr>Jardineiro_CERIB!Area_de_impressao</vt:lpstr>
      <vt:lpstr>'Quadro Resumo Geral M²'!Area_de_impressao</vt:lpstr>
      <vt:lpstr>'Quadro Resumo M² - CEARA'!Area_de_impressao</vt:lpstr>
      <vt:lpstr>'Quadro Resumo M² - CEBAU'!Area_de_impressao</vt:lpstr>
      <vt:lpstr>'Quadro Resumo M² - CERIB'!Area_de_impressao</vt:lpstr>
      <vt:lpstr>Tratorista_CEBAU!Area_de_impressao</vt:lpstr>
      <vt:lpstr>Tratorista_CERIB!Area_de_impressao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Henrique da Silva Sales Vaz Pinto</cp:lastModifiedBy>
  <cp:lastPrinted>2025-12-18T17:30:58Z</cp:lastPrinted>
  <dcterms:created xsi:type="dcterms:W3CDTF">2013-10-22T12:23:02Z</dcterms:created>
  <dcterms:modified xsi:type="dcterms:W3CDTF">2026-02-24T18:26:57Z</dcterms:modified>
</cp:coreProperties>
</file>