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drawings/drawing3.xml" ContentType="application/vnd.openxmlformats-officedocument.drawing+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5_25 Limpeza Entreposto do Interior\Planilhas Edital_Portal\"/>
    </mc:Choice>
  </mc:AlternateContent>
  <bookViews>
    <workbookView xWindow="0" yWindow="0" windowWidth="20460" windowHeight="7680" tabRatio="949"/>
  </bookViews>
  <sheets>
    <sheet name="Observações" sheetId="126" r:id="rId1"/>
    <sheet name="Insumos Diversos" sheetId="190" r:id="rId2"/>
    <sheet name="Uniformes e EPI's" sheetId="158" r:id="rId3"/>
    <sheet name="Agente de Higienização_CEARB" sheetId="99" r:id="rId4"/>
    <sheet name="Jardineiro_CEARB" sheetId="148" r:id="rId5"/>
    <sheet name="Quadro Resumo M² - CEARB" sheetId="165" r:id="rId6"/>
    <sheet name="Agente de Higienização_CEMAR" sheetId="173" r:id="rId7"/>
    <sheet name="Jardineiro_CEMAR" sheetId="174" r:id="rId8"/>
    <sheet name="Quadro Resumo M² - CEMAR" sheetId="177" r:id="rId9"/>
    <sheet name="Agente de Higienização_CEPRE" sheetId="193" r:id="rId10"/>
    <sheet name="Jardineiro_CEPRE" sheetId="181" r:id="rId11"/>
    <sheet name="Tratorista_CEPRE" sheetId="202" r:id="rId12"/>
    <sheet name="Ajudante de Serviços_CEPRE" sheetId="203" r:id="rId13"/>
    <sheet name="Líder_CEPRE" sheetId="186" r:id="rId14"/>
    <sheet name="Quadro Resumo M² - CEPRE" sheetId="187" r:id="rId15"/>
    <sheet name="Agente de Hig_6X1_CESJR" sheetId="195" r:id="rId16"/>
    <sheet name="Agente de Hig_Diuturno_CESJR" sheetId="196" r:id="rId17"/>
    <sheet name="Agente de Hig_5X2_CESJR" sheetId="204" r:id="rId18"/>
    <sheet name="Jardineiro_CESJR" sheetId="197" r:id="rId19"/>
    <sheet name="Tratorista_CESJR" sheetId="198" r:id="rId20"/>
    <sheet name="Buerista_CESJR" sheetId="205" r:id="rId21"/>
    <sheet name="Ajudante de Serviços_CESJR" sheetId="199" r:id="rId22"/>
    <sheet name="Encarregado de Limpeza_CESJR" sheetId="200" r:id="rId23"/>
    <sheet name="Quadro Resumo M² - CESJR" sheetId="201" r:id="rId24"/>
    <sheet name="Quadro Resumo Geral M²" sheetId="189" r:id="rId25"/>
  </sheets>
  <externalReferences>
    <externalReference r:id="rId26"/>
  </externalReferences>
  <definedNames>
    <definedName name="_xlnm.Print_Area" localSheetId="17">'Agente de Hig_5X2_CESJR'!$A$1:$G$140</definedName>
    <definedName name="_xlnm.Print_Area" localSheetId="15">'Agente de Hig_6X1_CESJR'!$A$1:$G$140</definedName>
    <definedName name="_xlnm.Print_Area" localSheetId="16">'Agente de Hig_Diuturno_CESJR'!$A$1:$G$140</definedName>
    <definedName name="_xlnm.Print_Area" localSheetId="3">'Agente de Higienização_CEARB'!$A$1:$G$140</definedName>
    <definedName name="_xlnm.Print_Area" localSheetId="6">'Agente de Higienização_CEMAR'!$A$1:$G$140</definedName>
    <definedName name="_xlnm.Print_Area" localSheetId="9">'Agente de Higienização_CEPRE'!$A$1:$G$140</definedName>
    <definedName name="_xlnm.Print_Area" localSheetId="12">'Ajudante de Serviços_CEPRE'!$A$1:$G$143</definedName>
    <definedName name="_xlnm.Print_Area" localSheetId="21">'Ajudante de Serviços_CESJR'!$A$1:$G$143</definedName>
    <definedName name="_xlnm.Print_Area" localSheetId="20">Buerista_CESJR!$A$1:$G$140</definedName>
    <definedName name="_xlnm.Print_Area" localSheetId="22">'Encarregado de Limpeza_CESJR'!$A$1:$G$140</definedName>
    <definedName name="_xlnm.Print_Area" localSheetId="1">'Insumos Diversos'!$A$1:$K$145</definedName>
    <definedName name="_xlnm.Print_Area" localSheetId="4">Jardineiro_CEARB!$A$1:$G$140</definedName>
    <definedName name="_xlnm.Print_Area" localSheetId="7">Jardineiro_CEMAR!$A$1:$G$140</definedName>
    <definedName name="_xlnm.Print_Area" localSheetId="10">Jardineiro_CEPRE!$A$1:$G$140</definedName>
    <definedName name="_xlnm.Print_Area" localSheetId="18">Jardineiro_CESJR!$A$1:$G$140</definedName>
    <definedName name="_xlnm.Print_Area" localSheetId="13">Líder_CEPRE!$A$1:$G$140</definedName>
    <definedName name="_xlnm.Print_Area" localSheetId="24">'Quadro Resumo Geral M²'!$B$1:$G$107</definedName>
    <definedName name="_xlnm.Print_Area" localSheetId="5">'Quadro Resumo M² - CEARB'!$B$1:$H$64</definedName>
    <definedName name="_xlnm.Print_Area" localSheetId="8">'Quadro Resumo M² - CEMAR'!$B$1:$H$67</definedName>
    <definedName name="_xlnm.Print_Area" localSheetId="14">'Quadro Resumo M² - CEPRE'!$B$1:$H$82</definedName>
    <definedName name="_xlnm.Print_Area" localSheetId="23">'Quadro Resumo M² - CESJR'!$B$1:$H$96</definedName>
    <definedName name="_xlnm.Print_Area" localSheetId="11">Tratorista_CEPRE!$A$1:$G$140</definedName>
    <definedName name="_xlnm.Print_Area" localSheetId="19">Tratorista_CESJR!$A$1:$G$140</definedName>
    <definedName name="_xlnm.Print_Area" localSheetId="2">'Uniformes e EPI''s'!$A$1:$K$39</definedName>
    <definedName name="EQUIPTOS" localSheetId="17">'[1]Equipamentos e material'!#REF!</definedName>
    <definedName name="EQUIPTOS" localSheetId="15">'[1]Equipamentos e material'!#REF!</definedName>
    <definedName name="EQUIPTOS" localSheetId="16">'[1]Equipamentos e material'!#REF!</definedName>
    <definedName name="EQUIPTOS" localSheetId="6">'[1]Equipamentos e material'!#REF!</definedName>
    <definedName name="EQUIPTOS" localSheetId="9">'[1]Equipamentos e material'!#REF!</definedName>
    <definedName name="EQUIPTOS" localSheetId="12">'[1]Equipamentos e material'!#REF!</definedName>
    <definedName name="EQUIPTOS" localSheetId="21">'[1]Equipamentos e material'!#REF!</definedName>
    <definedName name="EQUIPTOS" localSheetId="22">'[1]Equipamentos e material'!#REF!</definedName>
    <definedName name="EQUIPTOS" localSheetId="1">'[1]Equipamentos e material'!#REF!</definedName>
    <definedName name="EQUIPTOS" localSheetId="4">'[1]Equipamentos e material'!#REF!</definedName>
    <definedName name="EQUIPTOS" localSheetId="7">'[1]Equipamentos e material'!#REF!</definedName>
    <definedName name="EQUIPTOS" localSheetId="10">'[1]Equipamentos e material'!#REF!</definedName>
    <definedName name="EQUIPTOS" localSheetId="18">'[1]Equipamentos e material'!#REF!</definedName>
    <definedName name="EQUIPTOS" localSheetId="13">'[1]Equipamentos e material'!#REF!</definedName>
    <definedName name="EQUIPTOS" localSheetId="5">'[1]Equipamentos e material'!#REF!</definedName>
    <definedName name="EQUIPTOS" localSheetId="8">'[1]Equipamentos e material'!#REF!</definedName>
    <definedName name="EQUIPTOS" localSheetId="14">'[1]Equipamentos e material'!#REF!</definedName>
    <definedName name="EQUIPTOS" localSheetId="11">'[1]Equipamentos e material'!#REF!</definedName>
    <definedName name="EQUIPTOS" localSheetId="19">'[1]Equipamentos e material'!#REF!</definedName>
    <definedName name="EQUIPTOS">'[1]Equipamentos e material'!#REF!</definedName>
    <definedName name="Excel_BuiltIn_Print_Area_1" localSheetId="17">#REF!</definedName>
    <definedName name="Excel_BuiltIn_Print_Area_1" localSheetId="15">#REF!</definedName>
    <definedName name="Excel_BuiltIn_Print_Area_1" localSheetId="16">#REF!</definedName>
    <definedName name="Excel_BuiltIn_Print_Area_1" localSheetId="6">#REF!</definedName>
    <definedName name="Excel_BuiltIn_Print_Area_1" localSheetId="9">#REF!</definedName>
    <definedName name="Excel_BuiltIn_Print_Area_1" localSheetId="12">#REF!</definedName>
    <definedName name="Excel_BuiltIn_Print_Area_1" localSheetId="21">#REF!</definedName>
    <definedName name="Excel_BuiltIn_Print_Area_1" localSheetId="22">#REF!</definedName>
    <definedName name="Excel_BuiltIn_Print_Area_1" localSheetId="1">#REF!</definedName>
    <definedName name="Excel_BuiltIn_Print_Area_1" localSheetId="4">#REF!</definedName>
    <definedName name="Excel_BuiltIn_Print_Area_1" localSheetId="7">#REF!</definedName>
    <definedName name="Excel_BuiltIn_Print_Area_1" localSheetId="10">#REF!</definedName>
    <definedName name="Excel_BuiltIn_Print_Area_1" localSheetId="18">#REF!</definedName>
    <definedName name="Excel_BuiltIn_Print_Area_1" localSheetId="13">#REF!</definedName>
    <definedName name="Excel_BuiltIn_Print_Area_1" localSheetId="5">#REF!</definedName>
    <definedName name="Excel_BuiltIn_Print_Area_1" localSheetId="8">#REF!</definedName>
    <definedName name="Excel_BuiltIn_Print_Area_1" localSheetId="14">#REF!</definedName>
    <definedName name="Excel_BuiltIn_Print_Area_1" localSheetId="11">#REF!</definedName>
    <definedName name="Excel_BuiltIn_Print_Area_1" localSheetId="19">#REF!</definedName>
    <definedName name="Excel_BuiltIn_Print_Area_1">#REF!</definedName>
    <definedName name="Excel_BuiltIn_Print_Area_2" localSheetId="17">#REF!</definedName>
    <definedName name="Excel_BuiltIn_Print_Area_2" localSheetId="15">#REF!</definedName>
    <definedName name="Excel_BuiltIn_Print_Area_2" localSheetId="16">#REF!</definedName>
    <definedName name="Excel_BuiltIn_Print_Area_2" localSheetId="6">#REF!</definedName>
    <definedName name="Excel_BuiltIn_Print_Area_2" localSheetId="9">#REF!</definedName>
    <definedName name="Excel_BuiltIn_Print_Area_2" localSheetId="12">#REF!</definedName>
    <definedName name="Excel_BuiltIn_Print_Area_2" localSheetId="21">#REF!</definedName>
    <definedName name="Excel_BuiltIn_Print_Area_2" localSheetId="22">#REF!</definedName>
    <definedName name="Excel_BuiltIn_Print_Area_2" localSheetId="1">#REF!</definedName>
    <definedName name="Excel_BuiltIn_Print_Area_2" localSheetId="4">#REF!</definedName>
    <definedName name="Excel_BuiltIn_Print_Area_2" localSheetId="7">#REF!</definedName>
    <definedName name="Excel_BuiltIn_Print_Area_2" localSheetId="10">#REF!</definedName>
    <definedName name="Excel_BuiltIn_Print_Area_2" localSheetId="18">#REF!</definedName>
    <definedName name="Excel_BuiltIn_Print_Area_2" localSheetId="13">#REF!</definedName>
    <definedName name="Excel_BuiltIn_Print_Area_2" localSheetId="5">#REF!</definedName>
    <definedName name="Excel_BuiltIn_Print_Area_2" localSheetId="8">#REF!</definedName>
    <definedName name="Excel_BuiltIn_Print_Area_2" localSheetId="14">#REF!</definedName>
    <definedName name="Excel_BuiltIn_Print_Area_2" localSheetId="11">#REF!</definedName>
    <definedName name="Excel_BuiltIn_Print_Area_2" localSheetId="19">#REF!</definedName>
    <definedName name="Excel_BuiltIn_Print_Area_2">#REF!</definedName>
  </definedNames>
  <calcPr calcId="152511" iterate="1" fullPrecision="0"/>
</workbook>
</file>

<file path=xl/calcChain.xml><?xml version="1.0" encoding="utf-8"?>
<calcChain xmlns="http://schemas.openxmlformats.org/spreadsheetml/2006/main">
  <c r="K38" i="158" l="1"/>
  <c r="I38" i="158"/>
  <c r="G38" i="158"/>
  <c r="E38" i="158"/>
  <c r="G103" i="190"/>
  <c r="F98" i="148" l="1"/>
  <c r="F98" i="173"/>
  <c r="F98" i="174"/>
  <c r="F98" i="193"/>
  <c r="F98" i="181"/>
  <c r="F98" i="202"/>
  <c r="F98" i="203"/>
  <c r="F98" i="186"/>
  <c r="F98" i="195"/>
  <c r="F98" i="196"/>
  <c r="F98" i="204"/>
  <c r="F98" i="197"/>
  <c r="F98" i="198"/>
  <c r="F98" i="205"/>
  <c r="F98" i="199"/>
  <c r="F98" i="200"/>
  <c r="F98" i="99"/>
  <c r="F90" i="203"/>
  <c r="F90" i="199"/>
  <c r="F88" i="148"/>
  <c r="F88" i="173"/>
  <c r="F88" i="174"/>
  <c r="F88" i="193"/>
  <c r="F88" i="181"/>
  <c r="F88" i="202"/>
  <c r="F88" i="203"/>
  <c r="F88" i="186"/>
  <c r="F88" i="195"/>
  <c r="F88" i="196"/>
  <c r="F88" i="204"/>
  <c r="F88" i="197"/>
  <c r="F88" i="198"/>
  <c r="F88" i="205"/>
  <c r="F88" i="199"/>
  <c r="F88" i="200"/>
  <c r="F88" i="99"/>
  <c r="F85" i="148"/>
  <c r="F85" i="173"/>
  <c r="F85" i="174"/>
  <c r="F85" i="193"/>
  <c r="F85" i="181"/>
  <c r="F85" i="202"/>
  <c r="F85" i="203"/>
  <c r="F85" i="186"/>
  <c r="F85" i="195"/>
  <c r="F85" i="196"/>
  <c r="F85" i="204"/>
  <c r="F85" i="197"/>
  <c r="F85" i="198"/>
  <c r="F85" i="205"/>
  <c r="F85" i="199"/>
  <c r="F85" i="200"/>
  <c r="F85" i="99"/>
  <c r="F83" i="148"/>
  <c r="F83" i="173"/>
  <c r="F83" i="174"/>
  <c r="F83" i="193"/>
  <c r="F83" i="181"/>
  <c r="F83" i="202"/>
  <c r="F83" i="203"/>
  <c r="F83" i="186"/>
  <c r="F83" i="195"/>
  <c r="F83" i="196"/>
  <c r="F83" i="204"/>
  <c r="F83" i="197"/>
  <c r="F83" i="198"/>
  <c r="F83" i="205"/>
  <c r="F83" i="199"/>
  <c r="F83" i="200"/>
  <c r="F83" i="99"/>
  <c r="F82" i="148"/>
  <c r="F82" i="173"/>
  <c r="F82" i="174"/>
  <c r="F82" i="193"/>
  <c r="F82" i="181"/>
  <c r="F82" i="202"/>
  <c r="F82" i="203"/>
  <c r="F82" i="186"/>
  <c r="F82" i="195"/>
  <c r="F82" i="196"/>
  <c r="F82" i="204"/>
  <c r="F82" i="197"/>
  <c r="F82" i="198"/>
  <c r="F82" i="205"/>
  <c r="F82" i="199"/>
  <c r="F82" i="200"/>
  <c r="F82" i="99"/>
  <c r="F81" i="148"/>
  <c r="F81" i="173"/>
  <c r="F81" i="174"/>
  <c r="F81" i="193"/>
  <c r="F81" i="181"/>
  <c r="F81" i="202"/>
  <c r="F81" i="203"/>
  <c r="F81" i="186"/>
  <c r="F81" i="195"/>
  <c r="F81" i="196"/>
  <c r="F81" i="204"/>
  <c r="F81" i="197"/>
  <c r="F81" i="198"/>
  <c r="F81" i="205"/>
  <c r="F81" i="199"/>
  <c r="F81" i="200"/>
  <c r="F81" i="99"/>
  <c r="F74" i="148"/>
  <c r="F74" i="173"/>
  <c r="F74" i="174"/>
  <c r="F74" i="193"/>
  <c r="F74" i="181"/>
  <c r="F74" i="202"/>
  <c r="F74" i="203"/>
  <c r="F74" i="186"/>
  <c r="F74" i="195"/>
  <c r="F74" i="196"/>
  <c r="F74" i="204"/>
  <c r="F74" i="197"/>
  <c r="F74" i="198"/>
  <c r="F74" i="205"/>
  <c r="F74" i="199"/>
  <c r="F74" i="200"/>
  <c r="F74" i="99"/>
  <c r="F73" i="148"/>
  <c r="F73" i="173"/>
  <c r="F73" i="174"/>
  <c r="F73" i="193"/>
  <c r="F73" i="181"/>
  <c r="F73" i="202"/>
  <c r="F73" i="203"/>
  <c r="F73" i="186"/>
  <c r="F73" i="195"/>
  <c r="F73" i="196"/>
  <c r="F73" i="204"/>
  <c r="F73" i="197"/>
  <c r="F73" i="198"/>
  <c r="F73" i="205"/>
  <c r="F73" i="199"/>
  <c r="F73" i="200"/>
  <c r="F73" i="99"/>
  <c r="F71" i="148"/>
  <c r="F71" i="173"/>
  <c r="F71" i="174"/>
  <c r="F71" i="193"/>
  <c r="F71" i="181"/>
  <c r="F71" i="202"/>
  <c r="F71" i="203"/>
  <c r="F71" i="186"/>
  <c r="F71" i="195"/>
  <c r="F71" i="196"/>
  <c r="F71" i="204"/>
  <c r="F71" i="197"/>
  <c r="F71" i="198"/>
  <c r="F71" i="205"/>
  <c r="F71" i="199"/>
  <c r="F71" i="200"/>
  <c r="F71" i="99"/>
  <c r="E57" i="148"/>
  <c r="E57" i="173"/>
  <c r="E57" i="174"/>
  <c r="E57" i="193"/>
  <c r="E57" i="181"/>
  <c r="E57" i="202"/>
  <c r="E57" i="203"/>
  <c r="E57" i="186"/>
  <c r="E57" i="195"/>
  <c r="E57" i="196"/>
  <c r="E57" i="204"/>
  <c r="E57" i="197"/>
  <c r="E57" i="198"/>
  <c r="E57" i="205"/>
  <c r="E57" i="199"/>
  <c r="E57" i="200"/>
  <c r="E57" i="99"/>
  <c r="K99" i="190"/>
  <c r="K100" i="190"/>
  <c r="K101" i="190"/>
  <c r="K102" i="190"/>
  <c r="K98" i="190"/>
  <c r="F8" i="201" l="1"/>
  <c r="F13" i="201"/>
  <c r="E59" i="199" l="1"/>
  <c r="E59" i="204"/>
  <c r="E58" i="199"/>
  <c r="E58" i="204"/>
  <c r="E54" i="199"/>
  <c r="E54" i="204"/>
  <c r="E59" i="203"/>
  <c r="E59" i="193"/>
  <c r="E58" i="203"/>
  <c r="E58" i="193"/>
  <c r="E54" i="203"/>
  <c r="E54" i="193"/>
  <c r="F8" i="187"/>
  <c r="F13" i="187"/>
  <c r="C36" i="201" l="1"/>
  <c r="C37" i="201"/>
  <c r="C38" i="201"/>
  <c r="C46" i="201"/>
  <c r="F142" i="199"/>
  <c r="G141" i="199"/>
  <c r="F140" i="199"/>
  <c r="F127" i="199"/>
  <c r="F128" i="199" s="1"/>
  <c r="G115" i="199"/>
  <c r="G114" i="199"/>
  <c r="G113" i="199"/>
  <c r="G112" i="199"/>
  <c r="G111" i="199"/>
  <c r="G110" i="199"/>
  <c r="G108" i="199"/>
  <c r="F94" i="199"/>
  <c r="F86" i="199"/>
  <c r="F102" i="199" s="1"/>
  <c r="G62" i="199"/>
  <c r="G61" i="199"/>
  <c r="G60" i="199"/>
  <c r="G59" i="199"/>
  <c r="G58" i="199"/>
  <c r="G57" i="199"/>
  <c r="G56" i="199"/>
  <c r="G55" i="199"/>
  <c r="G54" i="199"/>
  <c r="F51" i="199"/>
  <c r="F39" i="199"/>
  <c r="F38" i="199"/>
  <c r="G33" i="199"/>
  <c r="F30" i="199"/>
  <c r="F32" i="199" s="1"/>
  <c r="G29" i="199"/>
  <c r="G27" i="199"/>
  <c r="G53" i="199" s="1"/>
  <c r="F99" i="199" l="1"/>
  <c r="F100" i="199" s="1"/>
  <c r="F105" i="199" s="1"/>
  <c r="F75" i="199"/>
  <c r="F40" i="199"/>
  <c r="F66" i="199"/>
  <c r="F89" i="199"/>
  <c r="F92" i="199" s="1"/>
  <c r="F103" i="199" s="1"/>
  <c r="G63" i="199"/>
  <c r="G67" i="199" s="1"/>
  <c r="F41" i="199"/>
  <c r="F65" i="199" s="1"/>
  <c r="F95" i="199"/>
  <c r="F96" i="199" s="1"/>
  <c r="G28" i="199"/>
  <c r="F72" i="199"/>
  <c r="F77" i="199" l="1"/>
  <c r="I106" i="199" s="1"/>
  <c r="F104" i="199"/>
  <c r="G30" i="199"/>
  <c r="G32" i="199"/>
  <c r="G34" i="199" l="1"/>
  <c r="G98" i="199" s="1"/>
  <c r="G100" i="199" s="1"/>
  <c r="G105" i="199" s="1"/>
  <c r="G84" i="199"/>
  <c r="H77" i="199"/>
  <c r="G73" i="199"/>
  <c r="G46" i="199"/>
  <c r="G40" i="199"/>
  <c r="H92" i="199"/>
  <c r="G88" i="199"/>
  <c r="G83" i="199"/>
  <c r="H51" i="199"/>
  <c r="G45" i="199"/>
  <c r="G89" i="199"/>
  <c r="G47" i="199"/>
  <c r="H96" i="199"/>
  <c r="G72" i="199"/>
  <c r="G44" i="199"/>
  <c r="H100" i="199" s="1"/>
  <c r="G38" i="199"/>
  <c r="H86" i="199"/>
  <c r="G82" i="199"/>
  <c r="G76" i="199"/>
  <c r="G43" i="199"/>
  <c r="G91" i="199"/>
  <c r="G75" i="199"/>
  <c r="G71" i="199"/>
  <c r="G50" i="199"/>
  <c r="H41" i="199"/>
  <c r="G37" i="199"/>
  <c r="G94" i="199"/>
  <c r="G96" i="199" s="1"/>
  <c r="G104" i="199" s="1"/>
  <c r="G80" i="199"/>
  <c r="G95" i="199"/>
  <c r="G90" i="199"/>
  <c r="G81" i="199"/>
  <c r="G49" i="199"/>
  <c r="G130" i="199"/>
  <c r="G99" i="199"/>
  <c r="G85" i="199"/>
  <c r="G74" i="199"/>
  <c r="G48" i="199"/>
  <c r="G77" i="199" l="1"/>
  <c r="G132" i="199" s="1"/>
  <c r="G92" i="199"/>
  <c r="G103" i="199" s="1"/>
  <c r="G86" i="199"/>
  <c r="G102" i="199" s="1"/>
  <c r="G51" i="199"/>
  <c r="G66" i="199" s="1"/>
  <c r="G41" i="199"/>
  <c r="G65" i="199" s="1"/>
  <c r="G106" i="199" l="1"/>
  <c r="G133" i="199" s="1"/>
  <c r="G68" i="199"/>
  <c r="G131" i="199" s="1"/>
  <c r="F142" i="203" l="1"/>
  <c r="G141" i="203"/>
  <c r="F140" i="203"/>
  <c r="F127" i="203"/>
  <c r="F128" i="203" s="1"/>
  <c r="G115" i="203"/>
  <c r="G114" i="203"/>
  <c r="G113" i="203"/>
  <c r="G112" i="203"/>
  <c r="G111" i="203"/>
  <c r="G110" i="203"/>
  <c r="G108" i="203"/>
  <c r="F95" i="203"/>
  <c r="F94" i="203"/>
  <c r="F86" i="203"/>
  <c r="F102" i="203" s="1"/>
  <c r="F75" i="203"/>
  <c r="G62" i="203"/>
  <c r="G61" i="203"/>
  <c r="G60" i="203"/>
  <c r="G59" i="203"/>
  <c r="G58" i="203"/>
  <c r="G57" i="203"/>
  <c r="G56" i="203"/>
  <c r="G55" i="203"/>
  <c r="G54" i="203"/>
  <c r="F51" i="203"/>
  <c r="F66" i="203" s="1"/>
  <c r="F38" i="203"/>
  <c r="F39" i="203" s="1"/>
  <c r="G33" i="203"/>
  <c r="F32" i="203"/>
  <c r="F30" i="203"/>
  <c r="G29" i="203"/>
  <c r="G27" i="203"/>
  <c r="G53" i="203" s="1"/>
  <c r="C72" i="201"/>
  <c r="C65" i="201"/>
  <c r="C63" i="201"/>
  <c r="D63" i="201"/>
  <c r="E63" i="201"/>
  <c r="C64" i="201"/>
  <c r="D64" i="201"/>
  <c r="E64" i="201"/>
  <c r="C51" i="201"/>
  <c r="C52" i="201"/>
  <c r="C47" i="201"/>
  <c r="C45" i="201"/>
  <c r="C39" i="201"/>
  <c r="F19" i="201"/>
  <c r="B19" i="201"/>
  <c r="F16" i="201"/>
  <c r="B16" i="201"/>
  <c r="B27" i="201" s="1"/>
  <c r="F140" i="205"/>
  <c r="F127" i="205"/>
  <c r="F128" i="205" s="1"/>
  <c r="G115" i="205"/>
  <c r="G114" i="205"/>
  <c r="G113" i="205"/>
  <c r="G112" i="205"/>
  <c r="G111" i="205"/>
  <c r="G110" i="205"/>
  <c r="G108" i="205"/>
  <c r="F94" i="205"/>
  <c r="F86" i="205"/>
  <c r="F102" i="205" s="1"/>
  <c r="F72" i="205"/>
  <c r="G62" i="205"/>
  <c r="G61" i="205"/>
  <c r="G60" i="205"/>
  <c r="E59" i="205"/>
  <c r="G59" i="205" s="1"/>
  <c r="G58" i="205"/>
  <c r="G57" i="205"/>
  <c r="G56" i="205"/>
  <c r="G55" i="205"/>
  <c r="G54" i="205"/>
  <c r="G53" i="205"/>
  <c r="F51" i="205"/>
  <c r="F38" i="205"/>
  <c r="F39" i="205" s="1"/>
  <c r="G33" i="205"/>
  <c r="F30" i="205"/>
  <c r="F32" i="205" s="1"/>
  <c r="G29" i="205"/>
  <c r="G27" i="205"/>
  <c r="G28" i="205" s="1"/>
  <c r="F140" i="204"/>
  <c r="F127" i="204"/>
  <c r="F128" i="204" s="1"/>
  <c r="G115" i="204"/>
  <c r="G114" i="204"/>
  <c r="G113" i="204"/>
  <c r="G112" i="204"/>
  <c r="G111" i="204"/>
  <c r="G110" i="204"/>
  <c r="B109" i="204"/>
  <c r="B108" i="204"/>
  <c r="F94" i="204"/>
  <c r="F86" i="204"/>
  <c r="F102" i="204" s="1"/>
  <c r="F72" i="204"/>
  <c r="G61" i="204"/>
  <c r="G60" i="204"/>
  <c r="G59" i="204"/>
  <c r="G58" i="204"/>
  <c r="G57" i="204"/>
  <c r="G56" i="204"/>
  <c r="G55" i="204"/>
  <c r="G54" i="204"/>
  <c r="F51" i="204"/>
  <c r="F90" i="204" s="1"/>
  <c r="F38" i="204"/>
  <c r="F37" i="204"/>
  <c r="F32" i="204"/>
  <c r="G32" i="204" s="1"/>
  <c r="F31" i="204"/>
  <c r="G31" i="204" s="1"/>
  <c r="G30" i="204"/>
  <c r="G29" i="204"/>
  <c r="G28" i="204"/>
  <c r="G27" i="204"/>
  <c r="F31" i="196"/>
  <c r="G8" i="187"/>
  <c r="C51" i="187"/>
  <c r="G34" i="204" l="1"/>
  <c r="F75" i="205"/>
  <c r="F90" i="205"/>
  <c r="F66" i="204"/>
  <c r="B30" i="201"/>
  <c r="B46" i="201" s="1"/>
  <c r="G32" i="205"/>
  <c r="F95" i="205"/>
  <c r="F96" i="205" s="1"/>
  <c r="F104" i="205" s="1"/>
  <c r="G53" i="204"/>
  <c r="F89" i="204"/>
  <c r="F92" i="204" s="1"/>
  <c r="F39" i="204"/>
  <c r="F75" i="204"/>
  <c r="G75" i="204" s="1"/>
  <c r="F95" i="204"/>
  <c r="F99" i="203"/>
  <c r="F100" i="203" s="1"/>
  <c r="F89" i="205"/>
  <c r="F92" i="205" s="1"/>
  <c r="F103" i="205" s="1"/>
  <c r="F89" i="203"/>
  <c r="F92" i="203" s="1"/>
  <c r="F103" i="203" s="1"/>
  <c r="F96" i="203"/>
  <c r="F104" i="203" s="1"/>
  <c r="F64" i="201"/>
  <c r="F63" i="201"/>
  <c r="G93" i="189"/>
  <c r="G105" i="189" s="1"/>
  <c r="B51" i="201"/>
  <c r="B93" i="189"/>
  <c r="G90" i="189"/>
  <c r="B90" i="189"/>
  <c r="F40" i="203"/>
  <c r="F41" i="203" s="1"/>
  <c r="F65" i="203" s="1"/>
  <c r="G63" i="203"/>
  <c r="G67" i="203" s="1"/>
  <c r="G28" i="203"/>
  <c r="G30" i="203" s="1"/>
  <c r="F105" i="203"/>
  <c r="F72" i="203"/>
  <c r="F77" i="203" s="1"/>
  <c r="G63" i="205"/>
  <c r="G67" i="205" s="1"/>
  <c r="F77" i="205"/>
  <c r="G30" i="205"/>
  <c r="F99" i="205"/>
  <c r="F100" i="205" s="1"/>
  <c r="F66" i="205"/>
  <c r="F40" i="205"/>
  <c r="F41" i="205" s="1"/>
  <c r="F65" i="205" s="1"/>
  <c r="F40" i="204"/>
  <c r="F41" i="204" s="1"/>
  <c r="G46" i="204"/>
  <c r="G72" i="204"/>
  <c r="H51" i="204"/>
  <c r="G45" i="204"/>
  <c r="G47" i="204"/>
  <c r="H86" i="204"/>
  <c r="G82" i="204"/>
  <c r="G76" i="204"/>
  <c r="G44" i="204"/>
  <c r="G50" i="204"/>
  <c r="G85" i="204"/>
  <c r="G49" i="204"/>
  <c r="G37" i="204"/>
  <c r="G48" i="204"/>
  <c r="G130" i="204"/>
  <c r="G98" i="204"/>
  <c r="G84" i="204"/>
  <c r="G73" i="204"/>
  <c r="G40" i="204"/>
  <c r="G91" i="204"/>
  <c r="G71" i="204"/>
  <c r="G43" i="204"/>
  <c r="G38" i="204"/>
  <c r="G95" i="204"/>
  <c r="G90" i="204"/>
  <c r="G81" i="204"/>
  <c r="G74" i="204"/>
  <c r="G94" i="204"/>
  <c r="G89" i="204"/>
  <c r="G80" i="204"/>
  <c r="G88" i="204"/>
  <c r="G83" i="204"/>
  <c r="G63" i="204"/>
  <c r="G67" i="204" s="1"/>
  <c r="F99" i="204"/>
  <c r="F100" i="204" s="1"/>
  <c r="F105" i="204" s="1"/>
  <c r="F96" i="204"/>
  <c r="F104" i="204" s="1"/>
  <c r="C36" i="187"/>
  <c r="C57" i="187"/>
  <c r="F103" i="204" l="1"/>
  <c r="H92" i="204"/>
  <c r="G34" i="205"/>
  <c r="F77" i="204"/>
  <c r="H77" i="204" s="1"/>
  <c r="G86" i="204"/>
  <c r="G102" i="204" s="1"/>
  <c r="I106" i="203"/>
  <c r="H96" i="204"/>
  <c r="G99" i="204"/>
  <c r="G100" i="204" s="1"/>
  <c r="G105" i="204" s="1"/>
  <c r="G34" i="203"/>
  <c r="G46" i="203" s="1"/>
  <c r="G32" i="203"/>
  <c r="B45" i="201"/>
  <c r="B38" i="201"/>
  <c r="B64" i="201"/>
  <c r="F105" i="205"/>
  <c r="I106" i="205"/>
  <c r="G91" i="205"/>
  <c r="G75" i="205"/>
  <c r="G71" i="205"/>
  <c r="G50" i="205"/>
  <c r="H41" i="205"/>
  <c r="G37" i="205"/>
  <c r="G38" i="205"/>
  <c r="G95" i="205"/>
  <c r="G90" i="205"/>
  <c r="G81" i="205"/>
  <c r="G49" i="205"/>
  <c r="G88" i="205"/>
  <c r="G83" i="205"/>
  <c r="G44" i="205"/>
  <c r="H100" i="205" s="1"/>
  <c r="G82" i="205"/>
  <c r="G99" i="205"/>
  <c r="G85" i="205"/>
  <c r="G74" i="205"/>
  <c r="G48" i="205"/>
  <c r="G80" i="205"/>
  <c r="G98" i="205"/>
  <c r="G100" i="205" s="1"/>
  <c r="G105" i="205" s="1"/>
  <c r="G84" i="205"/>
  <c r="H77" i="205"/>
  <c r="G46" i="205"/>
  <c r="H92" i="205"/>
  <c r="H86" i="205"/>
  <c r="G43" i="205"/>
  <c r="G130" i="205"/>
  <c r="G94" i="205"/>
  <c r="G96" i="205" s="1"/>
  <c r="G104" i="205" s="1"/>
  <c r="G89" i="205"/>
  <c r="G47" i="205"/>
  <c r="G40" i="205"/>
  <c r="G73" i="205"/>
  <c r="H51" i="205"/>
  <c r="G45" i="205"/>
  <c r="H96" i="205"/>
  <c r="G72" i="205"/>
  <c r="G76" i="205"/>
  <c r="F65" i="204"/>
  <c r="H41" i="204"/>
  <c r="G77" i="204"/>
  <c r="G132" i="204" s="1"/>
  <c r="G51" i="204"/>
  <c r="G66" i="204" s="1"/>
  <c r="G41" i="204"/>
  <c r="G96" i="204"/>
  <c r="G104" i="204" s="1"/>
  <c r="H100" i="204"/>
  <c r="G92" i="204"/>
  <c r="G103" i="204" s="1"/>
  <c r="F17" i="187"/>
  <c r="B17" i="187"/>
  <c r="F16" i="187"/>
  <c r="B16" i="187"/>
  <c r="B66" i="189" s="1"/>
  <c r="F15" i="187"/>
  <c r="B15" i="187"/>
  <c r="F14" i="187"/>
  <c r="B14" i="187"/>
  <c r="F140" i="202"/>
  <c r="F127" i="202"/>
  <c r="F128" i="202" s="1"/>
  <c r="G115" i="202"/>
  <c r="G114" i="202"/>
  <c r="G113" i="202"/>
  <c r="G112" i="202"/>
  <c r="G111" i="202"/>
  <c r="G110" i="202"/>
  <c r="B109" i="202"/>
  <c r="B108" i="202"/>
  <c r="F94" i="202"/>
  <c r="F86" i="202"/>
  <c r="F102" i="202" s="1"/>
  <c r="G61" i="202"/>
  <c r="G60" i="202"/>
  <c r="E59" i="202"/>
  <c r="G59" i="202" s="1"/>
  <c r="E58" i="202"/>
  <c r="G58" i="202" s="1"/>
  <c r="G57" i="202"/>
  <c r="G56" i="202"/>
  <c r="E55" i="202"/>
  <c r="G55" i="202" s="1"/>
  <c r="E54" i="202"/>
  <c r="G54" i="202" s="1"/>
  <c r="F51" i="202"/>
  <c r="F38" i="202"/>
  <c r="F37" i="202"/>
  <c r="F39" i="202" s="1"/>
  <c r="F31" i="202"/>
  <c r="F32" i="202" s="1"/>
  <c r="G32" i="202" s="1"/>
  <c r="G30" i="202"/>
  <c r="G29" i="202"/>
  <c r="G28" i="202"/>
  <c r="G27" i="202"/>
  <c r="C28" i="177"/>
  <c r="C24" i="165"/>
  <c r="G44" i="189"/>
  <c r="B44" i="189"/>
  <c r="G43" i="189"/>
  <c r="B43" i="189"/>
  <c r="G17" i="189"/>
  <c r="C12" i="189"/>
  <c r="C28" i="165"/>
  <c r="D51" i="165"/>
  <c r="F51" i="165" s="1"/>
  <c r="F66" i="202" l="1"/>
  <c r="F90" i="202"/>
  <c r="F75" i="202"/>
  <c r="F95" i="202"/>
  <c r="F96" i="202" s="1"/>
  <c r="F104" i="202" s="1"/>
  <c r="G41" i="205"/>
  <c r="G65" i="205" s="1"/>
  <c r="F99" i="202"/>
  <c r="G106" i="204"/>
  <c r="G133" i="204" s="1"/>
  <c r="F89" i="202"/>
  <c r="F92" i="202" s="1"/>
  <c r="F103" i="202" s="1"/>
  <c r="F100" i="202"/>
  <c r="F105" i="202" s="1"/>
  <c r="G37" i="203"/>
  <c r="G45" i="203"/>
  <c r="G89" i="203"/>
  <c r="H51" i="203"/>
  <c r="G94" i="203"/>
  <c r="G96" i="203" s="1"/>
  <c r="G104" i="203" s="1"/>
  <c r="G84" i="203"/>
  <c r="G130" i="203"/>
  <c r="G71" i="203"/>
  <c r="G38" i="203"/>
  <c r="G88" i="203"/>
  <c r="G98" i="203"/>
  <c r="G100" i="203" s="1"/>
  <c r="G105" i="203" s="1"/>
  <c r="G76" i="203"/>
  <c r="G83" i="203"/>
  <c r="G48" i="203"/>
  <c r="G75" i="203"/>
  <c r="G44" i="203"/>
  <c r="H100" i="203" s="1"/>
  <c r="H92" i="203"/>
  <c r="G74" i="203"/>
  <c r="G91" i="203"/>
  <c r="G72" i="203"/>
  <c r="G90" i="203"/>
  <c r="G82" i="203"/>
  <c r="H86" i="203"/>
  <c r="G40" i="203"/>
  <c r="G41" i="203" s="1"/>
  <c r="G65" i="203" s="1"/>
  <c r="G85" i="203"/>
  <c r="G81" i="203"/>
  <c r="H96" i="203"/>
  <c r="G95" i="203"/>
  <c r="G80" i="203"/>
  <c r="G73" i="203"/>
  <c r="H41" i="203"/>
  <c r="H77" i="203"/>
  <c r="G50" i="203"/>
  <c r="G51" i="203" s="1"/>
  <c r="G66" i="203" s="1"/>
  <c r="G47" i="203"/>
  <c r="G99" i="203"/>
  <c r="G43" i="203"/>
  <c r="G49" i="203"/>
  <c r="B64" i="189"/>
  <c r="B65" i="189"/>
  <c r="B24" i="187"/>
  <c r="B57" i="187" s="1"/>
  <c r="G66" i="189"/>
  <c r="G64" i="189"/>
  <c r="H64" i="189" s="1"/>
  <c r="B25" i="187"/>
  <c r="B67" i="189"/>
  <c r="G67" i="189"/>
  <c r="G104" i="189" s="1"/>
  <c r="G92" i="203"/>
  <c r="G103" i="203" s="1"/>
  <c r="G86" i="205"/>
  <c r="G102" i="205" s="1"/>
  <c r="G92" i="205"/>
  <c r="G103" i="205" s="1"/>
  <c r="G51" i="205"/>
  <c r="G66" i="205" s="1"/>
  <c r="G68" i="205" s="1"/>
  <c r="G131" i="205" s="1"/>
  <c r="G77" i="205"/>
  <c r="G132" i="205" s="1"/>
  <c r="G65" i="204"/>
  <c r="G68" i="204" s="1"/>
  <c r="G131" i="204" s="1"/>
  <c r="H42" i="204"/>
  <c r="B23" i="187"/>
  <c r="B56" i="187" s="1"/>
  <c r="G31" i="202"/>
  <c r="G34" i="202" s="1"/>
  <c r="F40" i="202"/>
  <c r="F41" i="202" s="1"/>
  <c r="F65" i="202" s="1"/>
  <c r="F72" i="202"/>
  <c r="F77" i="202" s="1"/>
  <c r="G53" i="202"/>
  <c r="G63" i="202" s="1"/>
  <c r="G67" i="202" s="1"/>
  <c r="D12" i="189"/>
  <c r="G86" i="203" l="1"/>
  <c r="G102" i="203" s="1"/>
  <c r="G106" i="203" s="1"/>
  <c r="G133" i="203" s="1"/>
  <c r="G77" i="203"/>
  <c r="G132" i="203" s="1"/>
  <c r="G68" i="203"/>
  <c r="G131" i="203" s="1"/>
  <c r="G106" i="205"/>
  <c r="G133" i="205" s="1"/>
  <c r="G130" i="202"/>
  <c r="G98" i="202"/>
  <c r="G84" i="202"/>
  <c r="H77" i="202"/>
  <c r="G73" i="202"/>
  <c r="G48" i="202"/>
  <c r="G89" i="202"/>
  <c r="H41" i="202"/>
  <c r="H92" i="202"/>
  <c r="G88" i="202"/>
  <c r="G83" i="202"/>
  <c r="G47" i="202"/>
  <c r="G74" i="202"/>
  <c r="G50" i="202"/>
  <c r="H96" i="202"/>
  <c r="G72" i="202"/>
  <c r="G46" i="202"/>
  <c r="G40" i="202"/>
  <c r="H86" i="202"/>
  <c r="G82" i="202"/>
  <c r="G76" i="202"/>
  <c r="H51" i="202"/>
  <c r="G45" i="202"/>
  <c r="G85" i="202"/>
  <c r="G94" i="202"/>
  <c r="G80" i="202"/>
  <c r="G91" i="202"/>
  <c r="G75" i="202"/>
  <c r="G71" i="202"/>
  <c r="G44" i="202"/>
  <c r="H100" i="202" s="1"/>
  <c r="G37" i="202"/>
  <c r="G95" i="202"/>
  <c r="G90" i="202"/>
  <c r="G81" i="202"/>
  <c r="G43" i="202"/>
  <c r="G38" i="202"/>
  <c r="G99" i="202"/>
  <c r="G49" i="202"/>
  <c r="G41" i="202" l="1"/>
  <c r="G77" i="202"/>
  <c r="G132" i="202" s="1"/>
  <c r="H42" i="202"/>
  <c r="G65" i="202"/>
  <c r="G51" i="202"/>
  <c r="G66" i="202" s="1"/>
  <c r="G86" i="202"/>
  <c r="G102" i="202" s="1"/>
  <c r="G92" i="202"/>
  <c r="G103" i="202" s="1"/>
  <c r="G100" i="202"/>
  <c r="G105" i="202" s="1"/>
  <c r="G96" i="202"/>
  <c r="G104" i="202" s="1"/>
  <c r="G68" i="202" l="1"/>
  <c r="G131" i="202" s="1"/>
  <c r="G106" i="202"/>
  <c r="G133" i="202" s="1"/>
  <c r="C35" i="187" l="1"/>
  <c r="C44" i="201"/>
  <c r="C43" i="201"/>
  <c r="C71" i="201"/>
  <c r="C70" i="201"/>
  <c r="D51" i="187"/>
  <c r="D50" i="187"/>
  <c r="D65" i="201"/>
  <c r="D62" i="201"/>
  <c r="E65" i="201"/>
  <c r="C62" i="201"/>
  <c r="C56" i="201"/>
  <c r="C55" i="201"/>
  <c r="C50" i="201"/>
  <c r="F21" i="201"/>
  <c r="B21" i="201"/>
  <c r="F20" i="201"/>
  <c r="B20" i="201"/>
  <c r="F18" i="201"/>
  <c r="B18" i="201"/>
  <c r="B29" i="201" s="1"/>
  <c r="F17" i="201"/>
  <c r="B17" i="201"/>
  <c r="B28" i="201" s="1"/>
  <c r="F15" i="201"/>
  <c r="B15" i="201"/>
  <c r="B26" i="201" s="1"/>
  <c r="F14" i="201"/>
  <c r="B14" i="201"/>
  <c r="D82" i="201"/>
  <c r="D81" i="201"/>
  <c r="D80" i="201"/>
  <c r="D79" i="201"/>
  <c r="D78" i="201"/>
  <c r="D77" i="201"/>
  <c r="E62" i="201"/>
  <c r="E13" i="201"/>
  <c r="E12" i="201"/>
  <c r="E11" i="201"/>
  <c r="E10" i="201"/>
  <c r="E9" i="201"/>
  <c r="E8" i="201"/>
  <c r="F140" i="200"/>
  <c r="F127" i="200"/>
  <c r="F128" i="200" s="1"/>
  <c r="G115" i="200"/>
  <c r="G114" i="200"/>
  <c r="G113" i="200"/>
  <c r="G112" i="200"/>
  <c r="G111" i="200"/>
  <c r="G110" i="200"/>
  <c r="B109" i="200"/>
  <c r="B108" i="200"/>
  <c r="F94" i="200"/>
  <c r="F86" i="200"/>
  <c r="F102" i="200" s="1"/>
  <c r="G61" i="200"/>
  <c r="G60" i="200"/>
  <c r="E59" i="200"/>
  <c r="G59" i="200" s="1"/>
  <c r="G58" i="200"/>
  <c r="E58" i="200"/>
  <c r="G57" i="200"/>
  <c r="G56" i="200"/>
  <c r="G55" i="200"/>
  <c r="G54" i="200"/>
  <c r="E54" i="200"/>
  <c r="G53" i="200"/>
  <c r="F51" i="200"/>
  <c r="F38" i="200"/>
  <c r="F37" i="200"/>
  <c r="F31" i="200"/>
  <c r="G31" i="200" s="1"/>
  <c r="G30" i="200"/>
  <c r="G29" i="200"/>
  <c r="G28" i="200"/>
  <c r="G27" i="200"/>
  <c r="F140" i="198"/>
  <c r="F127" i="198"/>
  <c r="F128" i="198" s="1"/>
  <c r="G115" i="198"/>
  <c r="G114" i="198"/>
  <c r="G113" i="198"/>
  <c r="G112" i="198"/>
  <c r="G111" i="198"/>
  <c r="G110" i="198"/>
  <c r="B109" i="198"/>
  <c r="B108" i="198"/>
  <c r="F94" i="198"/>
  <c r="F89" i="198"/>
  <c r="F86" i="198"/>
  <c r="F102" i="198" s="1"/>
  <c r="F75" i="198"/>
  <c r="F72" i="198"/>
  <c r="F77" i="198" s="1"/>
  <c r="G61" i="198"/>
  <c r="G60" i="198"/>
  <c r="E59" i="198"/>
  <c r="G59" i="198" s="1"/>
  <c r="E58" i="198"/>
  <c r="G58" i="198" s="1"/>
  <c r="G57" i="198"/>
  <c r="G56" i="198"/>
  <c r="E55" i="198"/>
  <c r="G55" i="198" s="1"/>
  <c r="G54" i="198"/>
  <c r="E54" i="198"/>
  <c r="F51" i="198"/>
  <c r="F38" i="198"/>
  <c r="F37" i="198"/>
  <c r="F31" i="198"/>
  <c r="F32" i="198" s="1"/>
  <c r="G32" i="198" s="1"/>
  <c r="G30" i="198"/>
  <c r="G29" i="198"/>
  <c r="G28" i="198"/>
  <c r="G27" i="198"/>
  <c r="G53" i="198" s="1"/>
  <c r="F140" i="197"/>
  <c r="F127" i="197"/>
  <c r="F128" i="197" s="1"/>
  <c r="G115" i="197"/>
  <c r="G114" i="197"/>
  <c r="G113" i="197"/>
  <c r="G112" i="197"/>
  <c r="G111" i="197"/>
  <c r="G110" i="197"/>
  <c r="B109" i="197"/>
  <c r="B108" i="197"/>
  <c r="F94" i="197"/>
  <c r="F86" i="197"/>
  <c r="F102" i="197" s="1"/>
  <c r="G61" i="197"/>
  <c r="G60" i="197"/>
  <c r="G59" i="197"/>
  <c r="E59" i="197"/>
  <c r="E58" i="197"/>
  <c r="G58" i="197" s="1"/>
  <c r="G57" i="197"/>
  <c r="G56" i="197"/>
  <c r="E55" i="197"/>
  <c r="G55" i="197" s="1"/>
  <c r="E54" i="197"/>
  <c r="G54" i="197" s="1"/>
  <c r="F51" i="197"/>
  <c r="F38" i="197"/>
  <c r="F37" i="197"/>
  <c r="F39" i="197" s="1"/>
  <c r="F31" i="197"/>
  <c r="F32" i="197" s="1"/>
  <c r="G32" i="197" s="1"/>
  <c r="G30" i="197"/>
  <c r="G29" i="197"/>
  <c r="G28" i="197"/>
  <c r="G27" i="197"/>
  <c r="F32" i="196"/>
  <c r="G32" i="196" s="1"/>
  <c r="F140" i="196"/>
  <c r="F127" i="196"/>
  <c r="F128" i="196" s="1"/>
  <c r="G115" i="196"/>
  <c r="G114" i="196"/>
  <c r="G113" i="196"/>
  <c r="G112" i="196"/>
  <c r="G111" i="196"/>
  <c r="G110" i="196"/>
  <c r="B109" i="196"/>
  <c r="B108" i="196"/>
  <c r="F94" i="196"/>
  <c r="F86" i="196"/>
  <c r="F102" i="196" s="1"/>
  <c r="G61" i="196"/>
  <c r="G60" i="196"/>
  <c r="E59" i="196"/>
  <c r="G59" i="196" s="1"/>
  <c r="E58" i="196"/>
  <c r="G58" i="196" s="1"/>
  <c r="G57" i="196"/>
  <c r="G56" i="196"/>
  <c r="G55" i="196"/>
  <c r="E54" i="196"/>
  <c r="G54" i="196" s="1"/>
  <c r="G53" i="196"/>
  <c r="F51" i="196"/>
  <c r="F38" i="196"/>
  <c r="F37" i="196"/>
  <c r="F39" i="196" s="1"/>
  <c r="G30" i="196"/>
  <c r="G29" i="196"/>
  <c r="G28" i="196"/>
  <c r="G27" i="196"/>
  <c r="F140" i="195"/>
  <c r="F127" i="195"/>
  <c r="F128" i="195" s="1"/>
  <c r="G115" i="195"/>
  <c r="G114" i="195"/>
  <c r="G113" i="195"/>
  <c r="G112" i="195"/>
  <c r="G111" i="195"/>
  <c r="G110" i="195"/>
  <c r="B109" i="195"/>
  <c r="B108" i="195"/>
  <c r="F94" i="195"/>
  <c r="F86" i="195"/>
  <c r="F102" i="195" s="1"/>
  <c r="G61" i="195"/>
  <c r="G60" i="195"/>
  <c r="E59" i="195"/>
  <c r="G59" i="195" s="1"/>
  <c r="G58" i="195"/>
  <c r="E58" i="195"/>
  <c r="G57" i="195"/>
  <c r="G56" i="195"/>
  <c r="G55" i="195"/>
  <c r="E54" i="195"/>
  <c r="G54" i="195" s="1"/>
  <c r="F51" i="195"/>
  <c r="F38" i="195"/>
  <c r="F37" i="195"/>
  <c r="F39" i="195" s="1"/>
  <c r="F31" i="195"/>
  <c r="F32" i="195" s="1"/>
  <c r="G32" i="195" s="1"/>
  <c r="G30" i="195"/>
  <c r="G29" i="195"/>
  <c r="G28" i="195"/>
  <c r="G27" i="195"/>
  <c r="G53" i="195" s="1"/>
  <c r="C50" i="187"/>
  <c r="C31" i="187"/>
  <c r="C30" i="187"/>
  <c r="G63" i="200" l="1"/>
  <c r="G67" i="200" s="1"/>
  <c r="F40" i="195"/>
  <c r="F90" i="195"/>
  <c r="F75" i="195"/>
  <c r="F39" i="198"/>
  <c r="F40" i="198" s="1"/>
  <c r="F95" i="198"/>
  <c r="F32" i="200"/>
  <c r="G32" i="200" s="1"/>
  <c r="F66" i="197"/>
  <c r="F90" i="197"/>
  <c r="F95" i="200"/>
  <c r="F90" i="200"/>
  <c r="F90" i="198"/>
  <c r="F92" i="198" s="1"/>
  <c r="F103" i="198" s="1"/>
  <c r="F39" i="200"/>
  <c r="F89" i="196"/>
  <c r="F90" i="196"/>
  <c r="F92" i="196" s="1"/>
  <c r="F103" i="196" s="1"/>
  <c r="G63" i="195"/>
  <c r="G67" i="195" s="1"/>
  <c r="F99" i="196"/>
  <c r="F66" i="198"/>
  <c r="F66" i="200"/>
  <c r="F89" i="200"/>
  <c r="F92" i="200" s="1"/>
  <c r="F103" i="200" s="1"/>
  <c r="F95" i="195"/>
  <c r="F96" i="195" s="1"/>
  <c r="F104" i="195" s="1"/>
  <c r="F75" i="197"/>
  <c r="F99" i="197"/>
  <c r="F100" i="197" s="1"/>
  <c r="F105" i="197" s="1"/>
  <c r="F96" i="200"/>
  <c r="F104" i="200" s="1"/>
  <c r="F66" i="196"/>
  <c r="F75" i="200"/>
  <c r="F96" i="196"/>
  <c r="F104" i="196" s="1"/>
  <c r="F99" i="198"/>
  <c r="F100" i="198" s="1"/>
  <c r="F105" i="198" s="1"/>
  <c r="F75" i="196"/>
  <c r="F95" i="196"/>
  <c r="F66" i="195"/>
  <c r="F89" i="195"/>
  <c r="F92" i="195" s="1"/>
  <c r="F103" i="195" s="1"/>
  <c r="F100" i="196"/>
  <c r="F105" i="196" s="1"/>
  <c r="F89" i="197"/>
  <c r="G91" i="189"/>
  <c r="G92" i="189"/>
  <c r="G102" i="189" s="1"/>
  <c r="B31" i="201"/>
  <c r="G88" i="189"/>
  <c r="G94" i="189"/>
  <c r="G103" i="189" s="1"/>
  <c r="B63" i="201"/>
  <c r="B32" i="201"/>
  <c r="B47" i="201" s="1"/>
  <c r="G89" i="189"/>
  <c r="G95" i="189"/>
  <c r="G107" i="189" s="1"/>
  <c r="B70" i="201"/>
  <c r="B94" i="189"/>
  <c r="B71" i="201"/>
  <c r="B92" i="189"/>
  <c r="B89" i="189"/>
  <c r="B95" i="189"/>
  <c r="B91" i="189"/>
  <c r="B25" i="201"/>
  <c r="B43" i="201" s="1"/>
  <c r="B88" i="189"/>
  <c r="F78" i="201"/>
  <c r="D75" i="189"/>
  <c r="F75" i="189" s="1"/>
  <c r="F79" i="201"/>
  <c r="D76" i="189"/>
  <c r="F76" i="189" s="1"/>
  <c r="F80" i="201"/>
  <c r="D77" i="189"/>
  <c r="F77" i="189" s="1"/>
  <c r="F81" i="201"/>
  <c r="D78" i="189"/>
  <c r="F78" i="189" s="1"/>
  <c r="F82" i="201"/>
  <c r="D79" i="189"/>
  <c r="F79" i="189" s="1"/>
  <c r="F77" i="201"/>
  <c r="D74" i="189"/>
  <c r="F74" i="189" s="1"/>
  <c r="F65" i="201"/>
  <c r="B55" i="201"/>
  <c r="B44" i="201"/>
  <c r="B37" i="201"/>
  <c r="F22" i="201"/>
  <c r="F62" i="201"/>
  <c r="F40" i="200"/>
  <c r="F41" i="200" s="1"/>
  <c r="F65" i="200" s="1"/>
  <c r="G34" i="200"/>
  <c r="F99" i="200"/>
  <c r="F100" i="200" s="1"/>
  <c r="F105" i="200" s="1"/>
  <c r="F72" i="200"/>
  <c r="G63" i="198"/>
  <c r="G67" i="198" s="1"/>
  <c r="G31" i="198"/>
  <c r="G34" i="198" s="1"/>
  <c r="F96" i="198"/>
  <c r="F104" i="198" s="1"/>
  <c r="F95" i="197"/>
  <c r="F96" i="197" s="1"/>
  <c r="F104" i="197" s="1"/>
  <c r="G31" i="197"/>
  <c r="G34" i="197" s="1"/>
  <c r="F40" i="197"/>
  <c r="F41" i="197" s="1"/>
  <c r="F65" i="197" s="1"/>
  <c r="F72" i="197"/>
  <c r="G53" i="197"/>
  <c r="G63" i="197" s="1"/>
  <c r="G67" i="197" s="1"/>
  <c r="F40" i="196"/>
  <c r="F41" i="196" s="1"/>
  <c r="F65" i="196" s="1"/>
  <c r="G63" i="196"/>
  <c r="G67" i="196" s="1"/>
  <c r="G31" i="196"/>
  <c r="G34" i="196" s="1"/>
  <c r="F72" i="196"/>
  <c r="F41" i="195"/>
  <c r="F65" i="195" s="1"/>
  <c r="F99" i="195"/>
  <c r="F100" i="195" s="1"/>
  <c r="F105" i="195" s="1"/>
  <c r="G31" i="195"/>
  <c r="G34" i="195" s="1"/>
  <c r="F72" i="195"/>
  <c r="F77" i="195" s="1"/>
  <c r="H88" i="189" l="1"/>
  <c r="F41" i="198"/>
  <c r="F65" i="198" s="1"/>
  <c r="F92" i="197"/>
  <c r="F103" i="197" s="1"/>
  <c r="F77" i="197"/>
  <c r="F77" i="196"/>
  <c r="H77" i="196" s="1"/>
  <c r="F77" i="200"/>
  <c r="H77" i="200" s="1"/>
  <c r="G96" i="189"/>
  <c r="B39" i="201"/>
  <c r="B72" i="201"/>
  <c r="B52" i="201"/>
  <c r="B56" i="201"/>
  <c r="B65" i="201"/>
  <c r="B62" i="201"/>
  <c r="B36" i="201"/>
  <c r="B50" i="201"/>
  <c r="G130" i="200"/>
  <c r="G98" i="200"/>
  <c r="G84" i="200"/>
  <c r="G73" i="200"/>
  <c r="G47" i="200"/>
  <c r="G99" i="200"/>
  <c r="H92" i="200"/>
  <c r="G88" i="200"/>
  <c r="G83" i="200"/>
  <c r="G46" i="200"/>
  <c r="G40" i="200"/>
  <c r="G37" i="200"/>
  <c r="H96" i="200"/>
  <c r="G72" i="200"/>
  <c r="H51" i="200"/>
  <c r="G45" i="200"/>
  <c r="H41" i="200"/>
  <c r="H86" i="200"/>
  <c r="G82" i="200"/>
  <c r="G76" i="200"/>
  <c r="G44" i="200"/>
  <c r="H100" i="200" s="1"/>
  <c r="G74" i="200"/>
  <c r="G49" i="200"/>
  <c r="G91" i="200"/>
  <c r="G75" i="200"/>
  <c r="G71" i="200"/>
  <c r="G43" i="200"/>
  <c r="G38" i="200"/>
  <c r="G95" i="200"/>
  <c r="G90" i="200"/>
  <c r="G81" i="200"/>
  <c r="G50" i="200"/>
  <c r="G94" i="200"/>
  <c r="G89" i="200"/>
  <c r="G80" i="200"/>
  <c r="G48" i="200"/>
  <c r="G85" i="200"/>
  <c r="H92" i="198"/>
  <c r="G88" i="198"/>
  <c r="G83" i="198"/>
  <c r="G47" i="198"/>
  <c r="G72" i="198"/>
  <c r="G46" i="198"/>
  <c r="G40" i="198"/>
  <c r="H41" i="198"/>
  <c r="G130" i="198"/>
  <c r="G84" i="198"/>
  <c r="G73" i="198"/>
  <c r="H96" i="198"/>
  <c r="G49" i="198"/>
  <c r="G98" i="198"/>
  <c r="G48" i="198"/>
  <c r="H86" i="198"/>
  <c r="G82" i="198"/>
  <c r="G76" i="198"/>
  <c r="H51" i="198"/>
  <c r="G45" i="198"/>
  <c r="G99" i="198"/>
  <c r="G74" i="198"/>
  <c r="G94" i="198"/>
  <c r="G89" i="198"/>
  <c r="G91" i="198"/>
  <c r="G75" i="198"/>
  <c r="G71" i="198"/>
  <c r="G44" i="198"/>
  <c r="H100" i="198" s="1"/>
  <c r="G95" i="198"/>
  <c r="G90" i="198"/>
  <c r="G81" i="198"/>
  <c r="G43" i="198"/>
  <c r="G38" i="198"/>
  <c r="G85" i="198"/>
  <c r="G50" i="198"/>
  <c r="G80" i="198"/>
  <c r="G37" i="198"/>
  <c r="H77" i="198"/>
  <c r="G130" i="197"/>
  <c r="G98" i="197"/>
  <c r="G84" i="197"/>
  <c r="H77" i="197"/>
  <c r="G73" i="197"/>
  <c r="G48" i="197"/>
  <c r="G43" i="197"/>
  <c r="G38" i="197"/>
  <c r="G88" i="197"/>
  <c r="G83" i="197"/>
  <c r="G47" i="197"/>
  <c r="H96" i="197"/>
  <c r="G72" i="197"/>
  <c r="G46" i="197"/>
  <c r="G40" i="197"/>
  <c r="G94" i="197"/>
  <c r="H86" i="197"/>
  <c r="G82" i="197"/>
  <c r="G76" i="197"/>
  <c r="H51" i="197"/>
  <c r="G45" i="197"/>
  <c r="G80" i="197"/>
  <c r="G49" i="197"/>
  <c r="G91" i="197"/>
  <c r="G75" i="197"/>
  <c r="G71" i="197"/>
  <c r="G44" i="197"/>
  <c r="H100" i="197" s="1"/>
  <c r="H41" i="197"/>
  <c r="G95" i="197"/>
  <c r="G90" i="197"/>
  <c r="G81" i="197"/>
  <c r="G37" i="197"/>
  <c r="G99" i="197"/>
  <c r="G85" i="197"/>
  <c r="G74" i="197"/>
  <c r="G50" i="197"/>
  <c r="G89" i="197"/>
  <c r="G130" i="196"/>
  <c r="G98" i="196"/>
  <c r="G84" i="196"/>
  <c r="G73" i="196"/>
  <c r="G47" i="196"/>
  <c r="G46" i="196"/>
  <c r="G74" i="196"/>
  <c r="H92" i="196"/>
  <c r="G88" i="196"/>
  <c r="G83" i="196"/>
  <c r="G40" i="196"/>
  <c r="H96" i="196"/>
  <c r="G72" i="196"/>
  <c r="H51" i="196"/>
  <c r="G45" i="196"/>
  <c r="G94" i="196"/>
  <c r="H86" i="196"/>
  <c r="G82" i="196"/>
  <c r="G76" i="196"/>
  <c r="G44" i="196"/>
  <c r="H100" i="196" s="1"/>
  <c r="G89" i="196"/>
  <c r="G48" i="196"/>
  <c r="G91" i="196"/>
  <c r="G75" i="196"/>
  <c r="G71" i="196"/>
  <c r="G43" i="196"/>
  <c r="G38" i="196"/>
  <c r="G99" i="196"/>
  <c r="G85" i="196"/>
  <c r="G49" i="196"/>
  <c r="H41" i="196"/>
  <c r="G37" i="196"/>
  <c r="G80" i="196"/>
  <c r="G95" i="196"/>
  <c r="G90" i="196"/>
  <c r="G81" i="196"/>
  <c r="G50" i="196"/>
  <c r="G130" i="195"/>
  <c r="G84" i="195"/>
  <c r="H77" i="195"/>
  <c r="G73" i="195"/>
  <c r="G47" i="195"/>
  <c r="H92" i="195"/>
  <c r="G88" i="195"/>
  <c r="G83" i="195"/>
  <c r="G46" i="195"/>
  <c r="G40" i="195"/>
  <c r="G85" i="195"/>
  <c r="G49" i="195"/>
  <c r="G37" i="195"/>
  <c r="H96" i="195"/>
  <c r="G72" i="195"/>
  <c r="H51" i="195"/>
  <c r="G45" i="195"/>
  <c r="H41" i="195"/>
  <c r="H86" i="195"/>
  <c r="G82" i="195"/>
  <c r="G76" i="195"/>
  <c r="G44" i="195"/>
  <c r="H100" i="195" s="1"/>
  <c r="G99" i="195"/>
  <c r="G74" i="195"/>
  <c r="G91" i="195"/>
  <c r="G75" i="195"/>
  <c r="G71" i="195"/>
  <c r="G43" i="195"/>
  <c r="G38" i="195"/>
  <c r="G95" i="195"/>
  <c r="G90" i="195"/>
  <c r="G81" i="195"/>
  <c r="G50" i="195"/>
  <c r="G94" i="195"/>
  <c r="G89" i="195"/>
  <c r="G80" i="195"/>
  <c r="G48" i="195"/>
  <c r="G98" i="195"/>
  <c r="G51" i="198" l="1"/>
  <c r="G66" i="198" s="1"/>
  <c r="H92" i="197"/>
  <c r="G96" i="198"/>
  <c r="G104" i="198" s="1"/>
  <c r="G41" i="200"/>
  <c r="G86" i="200"/>
  <c r="G102" i="200" s="1"/>
  <c r="G51" i="200"/>
  <c r="G66" i="200" s="1"/>
  <c r="G77" i="200"/>
  <c r="G132" i="200" s="1"/>
  <c r="G96" i="200"/>
  <c r="G104" i="200" s="1"/>
  <c r="G100" i="200"/>
  <c r="G105" i="200" s="1"/>
  <c r="G92" i="200"/>
  <c r="G103" i="200" s="1"/>
  <c r="G100" i="198"/>
  <c r="G105" i="198" s="1"/>
  <c r="G41" i="198"/>
  <c r="G86" i="198"/>
  <c r="G102" i="198" s="1"/>
  <c r="G77" i="198"/>
  <c r="G132" i="198" s="1"/>
  <c r="G92" i="198"/>
  <c r="G103" i="198" s="1"/>
  <c r="G51" i="197"/>
  <c r="G66" i="197" s="1"/>
  <c r="G77" i="197"/>
  <c r="G132" i="197" s="1"/>
  <c r="G92" i="197"/>
  <c r="G103" i="197" s="1"/>
  <c r="G100" i="197"/>
  <c r="G105" i="197" s="1"/>
  <c r="G86" i="197"/>
  <c r="G102" i="197" s="1"/>
  <c r="G41" i="197"/>
  <c r="G96" i="197"/>
  <c r="G104" i="197" s="1"/>
  <c r="G51" i="196"/>
  <c r="G66" i="196" s="1"/>
  <c r="G86" i="196"/>
  <c r="G102" i="196" s="1"/>
  <c r="G77" i="196"/>
  <c r="G132" i="196" s="1"/>
  <c r="G92" i="196"/>
  <c r="G103" i="196" s="1"/>
  <c r="G100" i="196"/>
  <c r="G105" i="196" s="1"/>
  <c r="G41" i="196"/>
  <c r="G96" i="196"/>
  <c r="G104" i="196" s="1"/>
  <c r="G100" i="195"/>
  <c r="G105" i="195" s="1"/>
  <c r="G41" i="195"/>
  <c r="G51" i="195"/>
  <c r="G66" i="195" s="1"/>
  <c r="G77" i="195"/>
  <c r="G132" i="195" s="1"/>
  <c r="G92" i="195"/>
  <c r="G103" i="195" s="1"/>
  <c r="G86" i="195"/>
  <c r="G102" i="195" s="1"/>
  <c r="G96" i="195"/>
  <c r="G104" i="195" s="1"/>
  <c r="G106" i="197" l="1"/>
  <c r="G133" i="197" s="1"/>
  <c r="G106" i="200"/>
  <c r="G133" i="200" s="1"/>
  <c r="G65" i="200"/>
  <c r="G68" i="200" s="1"/>
  <c r="G131" i="200" s="1"/>
  <c r="H42" i="200"/>
  <c r="G106" i="198"/>
  <c r="G133" i="198" s="1"/>
  <c r="G65" i="198"/>
  <c r="G68" i="198" s="1"/>
  <c r="G131" i="198" s="1"/>
  <c r="H42" i="198"/>
  <c r="G65" i="197"/>
  <c r="G68" i="197" s="1"/>
  <c r="G131" i="197" s="1"/>
  <c r="H42" i="197"/>
  <c r="G65" i="196"/>
  <c r="G68" i="196" s="1"/>
  <c r="G131" i="196" s="1"/>
  <c r="H42" i="196"/>
  <c r="G106" i="196"/>
  <c r="G133" i="196" s="1"/>
  <c r="G106" i="195"/>
  <c r="G133" i="195" s="1"/>
  <c r="G65" i="195"/>
  <c r="G68" i="195" s="1"/>
  <c r="G131" i="195" s="1"/>
  <c r="H42" i="195"/>
  <c r="C58" i="187" l="1"/>
  <c r="E9" i="187"/>
  <c r="E10" i="187"/>
  <c r="E11" i="187"/>
  <c r="E12" i="187"/>
  <c r="E13" i="187"/>
  <c r="E8" i="187"/>
  <c r="C56" i="187"/>
  <c r="C43" i="187"/>
  <c r="C45" i="177"/>
  <c r="C44" i="187"/>
  <c r="C39" i="187"/>
  <c r="C40" i="187"/>
  <c r="C42" i="165"/>
  <c r="C34" i="177"/>
  <c r="G65" i="189" l="1"/>
  <c r="F31" i="193" l="1"/>
  <c r="F32" i="193" s="1"/>
  <c r="G32" i="193" s="1"/>
  <c r="F140" i="193"/>
  <c r="F127" i="193"/>
  <c r="F128" i="193" s="1"/>
  <c r="G115" i="193"/>
  <c r="G114" i="193"/>
  <c r="G113" i="193"/>
  <c r="G112" i="193"/>
  <c r="G111" i="193"/>
  <c r="G110" i="193"/>
  <c r="B109" i="193"/>
  <c r="B108" i="193"/>
  <c r="F94" i="193"/>
  <c r="F86" i="193"/>
  <c r="F102" i="193" s="1"/>
  <c r="G61" i="193"/>
  <c r="G60" i="193"/>
  <c r="G59" i="193"/>
  <c r="G58" i="193"/>
  <c r="G57" i="193"/>
  <c r="G56" i="193"/>
  <c r="G55" i="193"/>
  <c r="G54" i="193"/>
  <c r="F51" i="193"/>
  <c r="F38" i="193"/>
  <c r="F37" i="193"/>
  <c r="G30" i="193"/>
  <c r="G29" i="193"/>
  <c r="G28" i="193"/>
  <c r="G27" i="193"/>
  <c r="G53" i="193" s="1"/>
  <c r="G63" i="193" s="1"/>
  <c r="G67" i="193" s="1"/>
  <c r="F89" i="193" l="1"/>
  <c r="F90" i="193"/>
  <c r="F39" i="193"/>
  <c r="F40" i="193" s="1"/>
  <c r="F41" i="193" s="1"/>
  <c r="F65" i="193" s="1"/>
  <c r="F95" i="193"/>
  <c r="F75" i="193"/>
  <c r="F99" i="193"/>
  <c r="F100" i="193" s="1"/>
  <c r="F105" i="193" s="1"/>
  <c r="F66" i="193"/>
  <c r="F92" i="193"/>
  <c r="F103" i="193" s="1"/>
  <c r="F96" i="193"/>
  <c r="F104" i="193" s="1"/>
  <c r="G31" i="193"/>
  <c r="G34" i="193" s="1"/>
  <c r="F72" i="193"/>
  <c r="F77" i="193" l="1"/>
  <c r="H77" i="193" s="1"/>
  <c r="G130" i="193"/>
  <c r="G98" i="193"/>
  <c r="G84" i="193"/>
  <c r="G73" i="193"/>
  <c r="G47" i="193"/>
  <c r="H92" i="193"/>
  <c r="G88" i="193"/>
  <c r="G83" i="193"/>
  <c r="G46" i="193"/>
  <c r="G40" i="193"/>
  <c r="H96" i="193"/>
  <c r="G72" i="193"/>
  <c r="H51" i="193"/>
  <c r="G45" i="193"/>
  <c r="G74" i="193"/>
  <c r="H86" i="193"/>
  <c r="G82" i="193"/>
  <c r="G76" i="193"/>
  <c r="G44" i="193"/>
  <c r="H100" i="193" s="1"/>
  <c r="G43" i="193"/>
  <c r="G38" i="193"/>
  <c r="G90" i="193"/>
  <c r="G81" i="193"/>
  <c r="G48" i="193"/>
  <c r="G91" i="193"/>
  <c r="G75" i="193"/>
  <c r="G71" i="193"/>
  <c r="G50" i="193"/>
  <c r="G49" i="193"/>
  <c r="H41" i="193"/>
  <c r="G80" i="193"/>
  <c r="G95" i="193"/>
  <c r="G37" i="193"/>
  <c r="G94" i="193"/>
  <c r="G99" i="193"/>
  <c r="G85" i="193"/>
  <c r="G89" i="193"/>
  <c r="G92" i="193" l="1"/>
  <c r="G103" i="193" s="1"/>
  <c r="G96" i="193"/>
  <c r="G104" i="193" s="1"/>
  <c r="G51" i="193"/>
  <c r="G66" i="193" s="1"/>
  <c r="G77" i="193"/>
  <c r="G132" i="193" s="1"/>
  <c r="G41" i="193"/>
  <c r="G100" i="193"/>
  <c r="G105" i="193" s="1"/>
  <c r="G86" i="193"/>
  <c r="G102" i="193" s="1"/>
  <c r="G106" i="193" l="1"/>
  <c r="G133" i="193" s="1"/>
  <c r="G65" i="193"/>
  <c r="G68" i="193" s="1"/>
  <c r="G131" i="193" s="1"/>
  <c r="H42" i="193"/>
  <c r="C31" i="177" l="1"/>
  <c r="C24" i="177"/>
  <c r="C31" i="165"/>
  <c r="D37" i="165" l="1"/>
  <c r="E6" i="190" l="1"/>
  <c r="G6" i="190"/>
  <c r="I6" i="190"/>
  <c r="K6" i="190"/>
  <c r="E7" i="190"/>
  <c r="G7" i="190"/>
  <c r="I7" i="190"/>
  <c r="K7" i="190"/>
  <c r="E8" i="190"/>
  <c r="G8" i="190"/>
  <c r="I8" i="190"/>
  <c r="K8" i="190"/>
  <c r="E9" i="190"/>
  <c r="G9" i="190"/>
  <c r="I9" i="190"/>
  <c r="K9" i="190"/>
  <c r="E10" i="190"/>
  <c r="G10" i="190"/>
  <c r="I10" i="190"/>
  <c r="K10" i="190"/>
  <c r="E11" i="190"/>
  <c r="G11" i="190"/>
  <c r="I11" i="190"/>
  <c r="K11" i="190"/>
  <c r="E12" i="190"/>
  <c r="G12" i="190"/>
  <c r="I12" i="190"/>
  <c r="K12" i="190"/>
  <c r="E13" i="190"/>
  <c r="G13" i="190"/>
  <c r="I13" i="190"/>
  <c r="K13" i="190"/>
  <c r="E14" i="190"/>
  <c r="G14" i="190"/>
  <c r="I14" i="190"/>
  <c r="K14" i="190"/>
  <c r="E15" i="190"/>
  <c r="G15" i="190"/>
  <c r="I15" i="190"/>
  <c r="K15" i="190"/>
  <c r="E16" i="190"/>
  <c r="G16" i="190"/>
  <c r="I16" i="190"/>
  <c r="K16" i="190"/>
  <c r="E17" i="190"/>
  <c r="G17" i="190"/>
  <c r="I17" i="190"/>
  <c r="K17" i="190"/>
  <c r="E18" i="190"/>
  <c r="G18" i="190"/>
  <c r="I18" i="190"/>
  <c r="K18" i="190"/>
  <c r="E19" i="190"/>
  <c r="G19" i="190"/>
  <c r="I19" i="190"/>
  <c r="K19" i="190"/>
  <c r="E20" i="190"/>
  <c r="G20" i="190"/>
  <c r="I20" i="190"/>
  <c r="K20" i="190"/>
  <c r="E21" i="190"/>
  <c r="G21" i="190"/>
  <c r="I21" i="190"/>
  <c r="K21" i="190"/>
  <c r="E22" i="190"/>
  <c r="G22" i="190"/>
  <c r="I22" i="190"/>
  <c r="K22" i="190"/>
  <c r="E23" i="190"/>
  <c r="G23" i="190"/>
  <c r="I23" i="190"/>
  <c r="K23" i="190"/>
  <c r="E24" i="190"/>
  <c r="G24" i="190"/>
  <c r="I24" i="190"/>
  <c r="K24" i="190"/>
  <c r="E25" i="190"/>
  <c r="G25" i="190"/>
  <c r="I25" i="190"/>
  <c r="K25" i="190"/>
  <c r="E26" i="190"/>
  <c r="G26" i="190"/>
  <c r="I26" i="190"/>
  <c r="K26" i="190"/>
  <c r="E27" i="190"/>
  <c r="G27" i="190"/>
  <c r="I27" i="190"/>
  <c r="K27" i="190"/>
  <c r="E28" i="190"/>
  <c r="G28" i="190"/>
  <c r="I28" i="190"/>
  <c r="K28" i="190"/>
  <c r="E29" i="190"/>
  <c r="G29" i="190"/>
  <c r="I29" i="190"/>
  <c r="K29" i="190"/>
  <c r="E30" i="190"/>
  <c r="G30" i="190"/>
  <c r="I30" i="190"/>
  <c r="K30" i="190"/>
  <c r="E31" i="190"/>
  <c r="G31" i="190"/>
  <c r="I31" i="190"/>
  <c r="K31" i="190"/>
  <c r="E32" i="190"/>
  <c r="G32" i="190"/>
  <c r="I32" i="190"/>
  <c r="K32" i="190"/>
  <c r="E33" i="190"/>
  <c r="G33" i="190"/>
  <c r="I33" i="190"/>
  <c r="K33" i="190"/>
  <c r="E34" i="190"/>
  <c r="G34" i="190"/>
  <c r="I34" i="190"/>
  <c r="K34" i="190"/>
  <c r="E35" i="190"/>
  <c r="G35" i="190"/>
  <c r="I35" i="190"/>
  <c r="K35" i="190"/>
  <c r="E36" i="190"/>
  <c r="G36" i="190"/>
  <c r="I36" i="190"/>
  <c r="K36" i="190"/>
  <c r="E37" i="190"/>
  <c r="G37" i="190"/>
  <c r="I37" i="190"/>
  <c r="K37" i="190"/>
  <c r="E38" i="190"/>
  <c r="G38" i="190"/>
  <c r="I38" i="190"/>
  <c r="K38" i="190"/>
  <c r="E39" i="190"/>
  <c r="G39" i="190"/>
  <c r="I39" i="190"/>
  <c r="K39" i="190"/>
  <c r="E40" i="190"/>
  <c r="G40" i="190"/>
  <c r="I40" i="190"/>
  <c r="K40" i="190"/>
  <c r="E41" i="190"/>
  <c r="G41" i="190"/>
  <c r="I41" i="190"/>
  <c r="K41" i="190"/>
  <c r="E42" i="190"/>
  <c r="G42" i="190"/>
  <c r="I42" i="190"/>
  <c r="K42" i="190"/>
  <c r="E43" i="190"/>
  <c r="G43" i="190"/>
  <c r="I43" i="190"/>
  <c r="K43" i="190"/>
  <c r="E44" i="190"/>
  <c r="G44" i="190"/>
  <c r="I44" i="190"/>
  <c r="K44" i="190"/>
  <c r="E45" i="190"/>
  <c r="G45" i="190"/>
  <c r="I45" i="190"/>
  <c r="K45" i="190"/>
  <c r="E46" i="190"/>
  <c r="G46" i="190"/>
  <c r="I46" i="190"/>
  <c r="K46" i="190"/>
  <c r="E47" i="190"/>
  <c r="G47" i="190"/>
  <c r="I47" i="190"/>
  <c r="K47" i="190"/>
  <c r="E48" i="190"/>
  <c r="G48" i="190"/>
  <c r="I48" i="190"/>
  <c r="K48" i="190"/>
  <c r="E49" i="190"/>
  <c r="G49" i="190"/>
  <c r="I49" i="190"/>
  <c r="K49" i="190"/>
  <c r="E50" i="190"/>
  <c r="G50" i="190"/>
  <c r="I50" i="190"/>
  <c r="K50" i="190"/>
  <c r="E51" i="190"/>
  <c r="G51" i="190"/>
  <c r="I51" i="190"/>
  <c r="K51" i="190"/>
  <c r="E52" i="190"/>
  <c r="G52" i="190"/>
  <c r="I52" i="190"/>
  <c r="K52" i="190"/>
  <c r="E53" i="190"/>
  <c r="G53" i="190"/>
  <c r="I53" i="190"/>
  <c r="K53" i="190"/>
  <c r="E54" i="190"/>
  <c r="G54" i="190"/>
  <c r="I54" i="190"/>
  <c r="K54" i="190"/>
  <c r="E55" i="190"/>
  <c r="G55" i="190"/>
  <c r="I55" i="190"/>
  <c r="K55" i="190"/>
  <c r="E56" i="190"/>
  <c r="G56" i="190"/>
  <c r="I56" i="190"/>
  <c r="K56" i="190"/>
  <c r="E57" i="190"/>
  <c r="G57" i="190"/>
  <c r="I57" i="190"/>
  <c r="K57" i="190"/>
  <c r="E58" i="190"/>
  <c r="G58" i="190"/>
  <c r="I58" i="190"/>
  <c r="K58" i="190"/>
  <c r="E59" i="190"/>
  <c r="G59" i="190"/>
  <c r="I59" i="190"/>
  <c r="K59" i="190"/>
  <c r="E60" i="190"/>
  <c r="G60" i="190"/>
  <c r="I60" i="190"/>
  <c r="K60" i="190"/>
  <c r="E61" i="190"/>
  <c r="G61" i="190"/>
  <c r="I61" i="190"/>
  <c r="K61" i="190"/>
  <c r="E62" i="190"/>
  <c r="G62" i="190"/>
  <c r="I62" i="190"/>
  <c r="K62" i="190"/>
  <c r="E63" i="190"/>
  <c r="G63" i="190"/>
  <c r="I63" i="190"/>
  <c r="K63" i="190"/>
  <c r="E64" i="190"/>
  <c r="G64" i="190"/>
  <c r="I64" i="190"/>
  <c r="K64" i="190"/>
  <c r="E65" i="190"/>
  <c r="G65" i="190"/>
  <c r="I65" i="190"/>
  <c r="K65" i="190"/>
  <c r="E66" i="190"/>
  <c r="G66" i="190"/>
  <c r="I66" i="190"/>
  <c r="K66" i="190"/>
  <c r="E67" i="190"/>
  <c r="G67" i="190"/>
  <c r="I67" i="190"/>
  <c r="K67" i="190"/>
  <c r="E68" i="190"/>
  <c r="G68" i="190"/>
  <c r="I68" i="190"/>
  <c r="K68" i="190"/>
  <c r="G127" i="190" l="1"/>
  <c r="G128" i="190"/>
  <c r="G129" i="190"/>
  <c r="G130" i="190"/>
  <c r="G131" i="190"/>
  <c r="G132" i="190"/>
  <c r="G133" i="190"/>
  <c r="G126" i="190"/>
  <c r="E125" i="190"/>
  <c r="G125" i="190"/>
  <c r="G124" i="190"/>
  <c r="F124" i="190"/>
  <c r="G118" i="190"/>
  <c r="G119" i="190"/>
  <c r="G120" i="190"/>
  <c r="G117" i="190"/>
  <c r="G116" i="190"/>
  <c r="G115" i="190"/>
  <c r="F115" i="190"/>
  <c r="G109" i="190"/>
  <c r="G110" i="190"/>
  <c r="G111" i="190"/>
  <c r="G108" i="190"/>
  <c r="G107" i="190"/>
  <c r="G100" i="190"/>
  <c r="G101" i="190"/>
  <c r="G102" i="190"/>
  <c r="G99" i="190"/>
  <c r="G98" i="190"/>
  <c r="G106" i="190"/>
  <c r="F106" i="190"/>
  <c r="G97" i="190"/>
  <c r="F97" i="190"/>
  <c r="G75" i="190"/>
  <c r="G76" i="190"/>
  <c r="G77" i="190"/>
  <c r="G78" i="190"/>
  <c r="G79" i="190"/>
  <c r="G80" i="190"/>
  <c r="G81" i="190"/>
  <c r="G82" i="190"/>
  <c r="G83" i="190"/>
  <c r="G84" i="190"/>
  <c r="G85" i="190"/>
  <c r="G86" i="190"/>
  <c r="G87" i="190"/>
  <c r="G88" i="190"/>
  <c r="G89" i="190"/>
  <c r="G90" i="190"/>
  <c r="G91" i="190"/>
  <c r="G92" i="190"/>
  <c r="G93" i="190"/>
  <c r="G74" i="190"/>
  <c r="G73" i="190"/>
  <c r="E73" i="190"/>
  <c r="G72" i="190"/>
  <c r="F72" i="190"/>
  <c r="F71" i="190"/>
  <c r="F96" i="190" s="1"/>
  <c r="F105" i="190" s="1"/>
  <c r="F114" i="190" s="1"/>
  <c r="F123" i="190" s="1"/>
  <c r="F138" i="190" s="1"/>
  <c r="G23" i="158"/>
  <c r="G24" i="158"/>
  <c r="G25" i="158"/>
  <c r="G26" i="158"/>
  <c r="G27" i="158"/>
  <c r="G28" i="158"/>
  <c r="G29" i="158"/>
  <c r="G30" i="158"/>
  <c r="G31" i="158"/>
  <c r="G32" i="158"/>
  <c r="G33" i="158"/>
  <c r="G34" i="158"/>
  <c r="G35" i="158"/>
  <c r="G36" i="158"/>
  <c r="G37" i="158"/>
  <c r="G22" i="158"/>
  <c r="G21" i="158"/>
  <c r="E21" i="158"/>
  <c r="F19" i="158"/>
  <c r="G20" i="158"/>
  <c r="F20" i="158"/>
  <c r="G9" i="158"/>
  <c r="G10" i="158"/>
  <c r="G11" i="158"/>
  <c r="G12" i="158"/>
  <c r="G13" i="158"/>
  <c r="G14" i="158"/>
  <c r="G15" i="158"/>
  <c r="G16" i="158"/>
  <c r="G8" i="158"/>
  <c r="G7" i="158"/>
  <c r="E7" i="158"/>
  <c r="G17" i="158" l="1"/>
  <c r="E108" i="174" s="1"/>
  <c r="G121" i="190"/>
  <c r="G69" i="190"/>
  <c r="G94" i="190"/>
  <c r="G134" i="190"/>
  <c r="G112" i="190"/>
  <c r="K118" i="190"/>
  <c r="K119" i="190"/>
  <c r="K120" i="190"/>
  <c r="K117" i="190"/>
  <c r="K116" i="190"/>
  <c r="I118" i="190"/>
  <c r="I119" i="190"/>
  <c r="I120" i="190"/>
  <c r="I117" i="190"/>
  <c r="I116" i="190"/>
  <c r="E118" i="190"/>
  <c r="E119" i="190"/>
  <c r="E120" i="190"/>
  <c r="E117" i="190"/>
  <c r="E116" i="190"/>
  <c r="K109" i="190"/>
  <c r="K110" i="190"/>
  <c r="K111" i="190"/>
  <c r="K108" i="190"/>
  <c r="K107" i="190"/>
  <c r="I109" i="190"/>
  <c r="I110" i="190"/>
  <c r="I111" i="190"/>
  <c r="I108" i="190"/>
  <c r="I107" i="190"/>
  <c r="E109" i="190"/>
  <c r="E110" i="190"/>
  <c r="E111" i="190"/>
  <c r="E107" i="190"/>
  <c r="E108" i="190"/>
  <c r="E108" i="173" l="1"/>
  <c r="F136" i="190"/>
  <c r="E121" i="190"/>
  <c r="E112" i="190"/>
  <c r="I121" i="190"/>
  <c r="K121" i="190"/>
  <c r="K112" i="190"/>
  <c r="I112" i="190"/>
  <c r="G58" i="177" l="1"/>
  <c r="G39" i="189" l="1"/>
  <c r="C40" i="177"/>
  <c r="C37" i="165" l="1"/>
  <c r="B109" i="186" l="1"/>
  <c r="B108" i="186"/>
  <c r="B109" i="181" l="1"/>
  <c r="B108" i="181"/>
  <c r="G115" i="181"/>
  <c r="G111" i="181"/>
  <c r="G112" i="181"/>
  <c r="G113" i="181"/>
  <c r="G114" i="181"/>
  <c r="B109" i="174" l="1"/>
  <c r="B108" i="174"/>
  <c r="B109" i="173"/>
  <c r="B108" i="173"/>
  <c r="B109" i="148" l="1"/>
  <c r="B108" i="148"/>
  <c r="G111" i="99"/>
  <c r="G112" i="99"/>
  <c r="G113" i="99"/>
  <c r="G114" i="99"/>
  <c r="G115" i="99"/>
  <c r="B109" i="99"/>
  <c r="B108" i="99"/>
  <c r="K133" i="190" l="1"/>
  <c r="I133" i="190"/>
  <c r="E133" i="190"/>
  <c r="K132" i="190"/>
  <c r="I132" i="190"/>
  <c r="E132" i="190"/>
  <c r="K131" i="190"/>
  <c r="I131" i="190"/>
  <c r="E131" i="190"/>
  <c r="K130" i="190"/>
  <c r="I130" i="190"/>
  <c r="E130" i="190"/>
  <c r="K129" i="190"/>
  <c r="I129" i="190"/>
  <c r="E129" i="190"/>
  <c r="K128" i="190"/>
  <c r="I128" i="190"/>
  <c r="E128" i="190"/>
  <c r="K127" i="190"/>
  <c r="I127" i="190"/>
  <c r="E127" i="190"/>
  <c r="K126" i="190"/>
  <c r="I126" i="190"/>
  <c r="E126" i="190"/>
  <c r="K125" i="190"/>
  <c r="I125" i="190"/>
  <c r="I102" i="190"/>
  <c r="E102" i="190"/>
  <c r="I101" i="190"/>
  <c r="E101" i="190"/>
  <c r="I100" i="190"/>
  <c r="E100" i="190"/>
  <c r="I99" i="190"/>
  <c r="E99" i="190"/>
  <c r="I98" i="190"/>
  <c r="E98" i="190"/>
  <c r="K93" i="190"/>
  <c r="I93" i="190"/>
  <c r="E93" i="190"/>
  <c r="K92" i="190"/>
  <c r="I92" i="190"/>
  <c r="E92" i="190"/>
  <c r="K91" i="190"/>
  <c r="I91" i="190"/>
  <c r="E91" i="190"/>
  <c r="K90" i="190"/>
  <c r="I90" i="190"/>
  <c r="E90" i="190"/>
  <c r="K89" i="190"/>
  <c r="I89" i="190"/>
  <c r="E89" i="190"/>
  <c r="K88" i="190"/>
  <c r="I88" i="190"/>
  <c r="E88" i="190"/>
  <c r="K87" i="190"/>
  <c r="I87" i="190"/>
  <c r="E87" i="190"/>
  <c r="K86" i="190"/>
  <c r="I86" i="190"/>
  <c r="E86" i="190"/>
  <c r="K85" i="190"/>
  <c r="I85" i="190"/>
  <c r="E85" i="190"/>
  <c r="K84" i="190"/>
  <c r="I84" i="190"/>
  <c r="E84" i="190"/>
  <c r="K83" i="190"/>
  <c r="I83" i="190"/>
  <c r="E83" i="190"/>
  <c r="K82" i="190"/>
  <c r="I82" i="190"/>
  <c r="E82" i="190"/>
  <c r="K81" i="190"/>
  <c r="I81" i="190"/>
  <c r="E81" i="190"/>
  <c r="K80" i="190"/>
  <c r="I80" i="190"/>
  <c r="E80" i="190"/>
  <c r="K79" i="190"/>
  <c r="I79" i="190"/>
  <c r="E79" i="190"/>
  <c r="K78" i="190"/>
  <c r="I78" i="190"/>
  <c r="E78" i="190"/>
  <c r="K77" i="190"/>
  <c r="I77" i="190"/>
  <c r="E77" i="190"/>
  <c r="K76" i="190"/>
  <c r="I76" i="190"/>
  <c r="E76" i="190"/>
  <c r="K75" i="190"/>
  <c r="I75" i="190"/>
  <c r="E75" i="190"/>
  <c r="K74" i="190"/>
  <c r="I74" i="190"/>
  <c r="E74" i="190"/>
  <c r="K73" i="190"/>
  <c r="I73" i="190"/>
  <c r="K72" i="190"/>
  <c r="K97" i="190" s="1"/>
  <c r="J72" i="190"/>
  <c r="J97" i="190" s="1"/>
  <c r="I72" i="190"/>
  <c r="I97" i="190" s="1"/>
  <c r="H72" i="190"/>
  <c r="H97" i="190" s="1"/>
  <c r="E72" i="190"/>
  <c r="E97" i="190" s="1"/>
  <c r="D72" i="190"/>
  <c r="D97" i="190" s="1"/>
  <c r="J71" i="190"/>
  <c r="J96" i="190" s="1"/>
  <c r="H71" i="190"/>
  <c r="H96" i="190" s="1"/>
  <c r="D71" i="190"/>
  <c r="D96" i="190" s="1"/>
  <c r="C71" i="190"/>
  <c r="C96" i="190" s="1"/>
  <c r="B123" i="190" s="1"/>
  <c r="B71" i="190"/>
  <c r="B96" i="190" s="1"/>
  <c r="I94" i="190" l="1"/>
  <c r="D124" i="190"/>
  <c r="D106" i="190"/>
  <c r="D115" i="190" s="1"/>
  <c r="D123" i="190"/>
  <c r="D138" i="190" s="1"/>
  <c r="D105" i="190"/>
  <c r="D114" i="190" s="1"/>
  <c r="E124" i="190"/>
  <c r="E106" i="190"/>
  <c r="E115" i="190" s="1"/>
  <c r="K124" i="190"/>
  <c r="K106" i="190"/>
  <c r="K115" i="190" s="1"/>
  <c r="H123" i="190"/>
  <c r="H138" i="190" s="1"/>
  <c r="H105" i="190"/>
  <c r="H114" i="190" s="1"/>
  <c r="H124" i="190"/>
  <c r="H106" i="190"/>
  <c r="H115" i="190" s="1"/>
  <c r="J124" i="190"/>
  <c r="J106" i="190"/>
  <c r="J115" i="190" s="1"/>
  <c r="J123" i="190"/>
  <c r="J138" i="190" s="1"/>
  <c r="J105" i="190"/>
  <c r="J114" i="190" s="1"/>
  <c r="I124" i="190"/>
  <c r="I106" i="190"/>
  <c r="I115" i="190" s="1"/>
  <c r="E103" i="190"/>
  <c r="E94" i="190"/>
  <c r="K103" i="190"/>
  <c r="I69" i="190"/>
  <c r="E69" i="190"/>
  <c r="K69" i="190"/>
  <c r="K94" i="190"/>
  <c r="K134" i="190"/>
  <c r="I134" i="190"/>
  <c r="I103" i="190"/>
  <c r="E134" i="190"/>
  <c r="H136" i="190" l="1"/>
  <c r="J136" i="190"/>
  <c r="D136" i="190"/>
  <c r="G85" i="201" l="1"/>
  <c r="G59" i="177"/>
  <c r="G71" i="187"/>
  <c r="G18" i="189"/>
  <c r="G19" i="189" s="1"/>
  <c r="G40" i="189"/>
  <c r="G55" i="165"/>
  <c r="E51" i="187"/>
  <c r="G56" i="165" l="1"/>
  <c r="G58" i="189"/>
  <c r="G59" i="189" s="1"/>
  <c r="G82" i="189"/>
  <c r="G83" i="189" s="1"/>
  <c r="G86" i="201"/>
  <c r="G72" i="187"/>
  <c r="F51" i="187"/>
  <c r="E40" i="177" l="1"/>
  <c r="G60" i="174" l="1"/>
  <c r="F18" i="187" l="1"/>
  <c r="B18" i="187"/>
  <c r="D68" i="187"/>
  <c r="D67" i="187"/>
  <c r="D66" i="187"/>
  <c r="D65" i="187"/>
  <c r="D64" i="187"/>
  <c r="D63" i="187"/>
  <c r="E50" i="187"/>
  <c r="F140" i="186"/>
  <c r="F127" i="186"/>
  <c r="F128" i="186" s="1"/>
  <c r="G115" i="186"/>
  <c r="G114" i="186"/>
  <c r="F94" i="186"/>
  <c r="F86" i="186"/>
  <c r="F102" i="186" s="1"/>
  <c r="F75" i="186"/>
  <c r="F77" i="186" s="1"/>
  <c r="F72" i="186"/>
  <c r="G61" i="186"/>
  <c r="G60" i="186"/>
  <c r="E59" i="186"/>
  <c r="G59" i="186" s="1"/>
  <c r="G58" i="186"/>
  <c r="E58" i="186"/>
  <c r="G57" i="186"/>
  <c r="G56" i="186"/>
  <c r="G55" i="186"/>
  <c r="E54" i="186"/>
  <c r="G54" i="186" s="1"/>
  <c r="F51" i="186"/>
  <c r="F38" i="186"/>
  <c r="F37" i="186"/>
  <c r="F39" i="186" s="1"/>
  <c r="F31" i="186"/>
  <c r="F32" i="186" s="1"/>
  <c r="G32" i="186" s="1"/>
  <c r="G30" i="186"/>
  <c r="G29" i="186"/>
  <c r="G28" i="186"/>
  <c r="G27" i="186"/>
  <c r="G53" i="186" s="1"/>
  <c r="G60" i="181"/>
  <c r="F140" i="181"/>
  <c r="F127" i="181"/>
  <c r="F128" i="181" s="1"/>
  <c r="F94" i="181"/>
  <c r="F95" i="181" s="1"/>
  <c r="F86" i="181"/>
  <c r="F102" i="181" s="1"/>
  <c r="G61" i="181"/>
  <c r="E59" i="181"/>
  <c r="G59" i="181" s="1"/>
  <c r="G58" i="181"/>
  <c r="E58" i="181"/>
  <c r="G57" i="181"/>
  <c r="G56" i="181"/>
  <c r="E55" i="181"/>
  <c r="G55" i="181" s="1"/>
  <c r="E54" i="181"/>
  <c r="G54" i="181" s="1"/>
  <c r="F51" i="181"/>
  <c r="F90" i="181" s="1"/>
  <c r="F38" i="181"/>
  <c r="F37" i="181"/>
  <c r="F31" i="181"/>
  <c r="G31" i="181" s="1"/>
  <c r="G30" i="181"/>
  <c r="G29" i="181"/>
  <c r="G28" i="181"/>
  <c r="G27" i="181"/>
  <c r="G53" i="181" s="1"/>
  <c r="F95" i="186" l="1"/>
  <c r="F39" i="181"/>
  <c r="F66" i="186"/>
  <c r="F90" i="186"/>
  <c r="F99" i="181"/>
  <c r="F100" i="181" s="1"/>
  <c r="F105" i="181" s="1"/>
  <c r="D50" i="189"/>
  <c r="F50" i="189" s="1"/>
  <c r="D52" i="189"/>
  <c r="F52" i="189" s="1"/>
  <c r="D51" i="189"/>
  <c r="F51" i="189" s="1"/>
  <c r="D53" i="189"/>
  <c r="F53" i="189" s="1"/>
  <c r="D55" i="189"/>
  <c r="F55" i="189" s="1"/>
  <c r="G68" i="189"/>
  <c r="G106" i="189" s="1"/>
  <c r="B68" i="189"/>
  <c r="B26" i="187"/>
  <c r="B58" i="187" s="1"/>
  <c r="D54" i="189"/>
  <c r="F54" i="189" s="1"/>
  <c r="F65" i="187"/>
  <c r="F63" i="187"/>
  <c r="F64" i="187"/>
  <c r="F68" i="187"/>
  <c r="F66" i="187"/>
  <c r="B22" i="187"/>
  <c r="F67" i="187"/>
  <c r="F19" i="187"/>
  <c r="F50" i="187"/>
  <c r="G63" i="186"/>
  <c r="G67" i="186" s="1"/>
  <c r="F96" i="186"/>
  <c r="F104" i="186" s="1"/>
  <c r="F99" i="186"/>
  <c r="F100" i="186" s="1"/>
  <c r="F105" i="186" s="1"/>
  <c r="G31" i="186"/>
  <c r="F40" i="186"/>
  <c r="F41" i="186" s="1"/>
  <c r="F65" i="186" s="1"/>
  <c r="G34" i="186"/>
  <c r="F89" i="186"/>
  <c r="G63" i="181"/>
  <c r="G67" i="181" s="1"/>
  <c r="F66" i="181"/>
  <c r="F89" i="181"/>
  <c r="F92" i="181" s="1"/>
  <c r="F103" i="181" s="1"/>
  <c r="F32" i="181"/>
  <c r="G32" i="181" s="1"/>
  <c r="F40" i="181"/>
  <c r="F41" i="181" s="1"/>
  <c r="F65" i="181" s="1"/>
  <c r="F72" i="181"/>
  <c r="G34" i="181"/>
  <c r="F75" i="181"/>
  <c r="F96" i="181"/>
  <c r="F104" i="181" s="1"/>
  <c r="B36" i="187" l="1"/>
  <c r="F77" i="181"/>
  <c r="G69" i="189"/>
  <c r="B43" i="187"/>
  <c r="B39" i="187"/>
  <c r="B31" i="187"/>
  <c r="B44" i="187"/>
  <c r="B40" i="187"/>
  <c r="B51" i="187"/>
  <c r="B35" i="187"/>
  <c r="B30" i="187"/>
  <c r="B50" i="187"/>
  <c r="F92" i="186"/>
  <c r="F103" i="186" s="1"/>
  <c r="G130" i="186"/>
  <c r="G95" i="186"/>
  <c r="H92" i="186"/>
  <c r="G90" i="186"/>
  <c r="G88" i="186"/>
  <c r="G83" i="186"/>
  <c r="G81" i="186"/>
  <c r="G50" i="186"/>
  <c r="G46" i="186"/>
  <c r="G40" i="186"/>
  <c r="H77" i="186"/>
  <c r="G71" i="186"/>
  <c r="G99" i="186"/>
  <c r="H96" i="186"/>
  <c r="G85" i="186"/>
  <c r="G74" i="186"/>
  <c r="G72" i="186"/>
  <c r="H51" i="186"/>
  <c r="G49" i="186"/>
  <c r="G45" i="186"/>
  <c r="H41" i="186"/>
  <c r="G37" i="186"/>
  <c r="G44" i="186"/>
  <c r="H100" i="186" s="1"/>
  <c r="G47" i="186"/>
  <c r="G43" i="186"/>
  <c r="G38" i="186"/>
  <c r="G94" i="186"/>
  <c r="G89" i="186"/>
  <c r="H86" i="186"/>
  <c r="G82" i="186"/>
  <c r="G80" i="186"/>
  <c r="G76" i="186"/>
  <c r="G48" i="186"/>
  <c r="G98" i="186"/>
  <c r="G91" i="186"/>
  <c r="G84" i="186"/>
  <c r="G75" i="186"/>
  <c r="G73" i="186"/>
  <c r="G130" i="181"/>
  <c r="G99" i="181"/>
  <c r="H96" i="181"/>
  <c r="G85" i="181"/>
  <c r="G74" i="181"/>
  <c r="G72" i="181"/>
  <c r="G50" i="181"/>
  <c r="G46" i="181"/>
  <c r="G40" i="181"/>
  <c r="G91" i="181"/>
  <c r="H77" i="181"/>
  <c r="G75" i="181"/>
  <c r="G73" i="181"/>
  <c r="G71" i="181"/>
  <c r="G48" i="181"/>
  <c r="G95" i="181"/>
  <c r="H92" i="181"/>
  <c r="G88" i="181"/>
  <c r="G83" i="181"/>
  <c r="G81" i="181"/>
  <c r="G47" i="181"/>
  <c r="G43" i="181"/>
  <c r="G94" i="181"/>
  <c r="G89" i="181"/>
  <c r="H86" i="181"/>
  <c r="G82" i="181"/>
  <c r="G80" i="181"/>
  <c r="G76" i="181"/>
  <c r="H51" i="181"/>
  <c r="G49" i="181"/>
  <c r="G45" i="181"/>
  <c r="H41" i="181"/>
  <c r="G37" i="181"/>
  <c r="G98" i="181"/>
  <c r="G100" i="181" s="1"/>
  <c r="G105" i="181" s="1"/>
  <c r="G84" i="181"/>
  <c r="G44" i="181"/>
  <c r="H100" i="181" s="1"/>
  <c r="G90" i="181"/>
  <c r="G38" i="181"/>
  <c r="G96" i="181" l="1"/>
  <c r="G104" i="181" s="1"/>
  <c r="G77" i="181"/>
  <c r="G132" i="181" s="1"/>
  <c r="G100" i="186"/>
  <c r="G105" i="186" s="1"/>
  <c r="G92" i="181"/>
  <c r="G103" i="181" s="1"/>
  <c r="G86" i="186"/>
  <c r="G102" i="186" s="1"/>
  <c r="G96" i="186"/>
  <c r="G104" i="186" s="1"/>
  <c r="G110" i="186"/>
  <c r="G110" i="181"/>
  <c r="G111" i="186"/>
  <c r="G41" i="186"/>
  <c r="G51" i="186"/>
  <c r="G66" i="186" s="1"/>
  <c r="G92" i="186"/>
  <c r="G103" i="186" s="1"/>
  <c r="G77" i="186"/>
  <c r="G132" i="186" s="1"/>
  <c r="G86" i="181"/>
  <c r="G102" i="181" s="1"/>
  <c r="G106" i="181" s="1"/>
  <c r="G133" i="181" s="1"/>
  <c r="G51" i="181"/>
  <c r="G66" i="181" s="1"/>
  <c r="G41" i="181"/>
  <c r="G106" i="186" l="1"/>
  <c r="G133" i="186" s="1"/>
  <c r="H42" i="186"/>
  <c r="G65" i="186"/>
  <c r="G68" i="186" s="1"/>
  <c r="G131" i="186" s="1"/>
  <c r="G65" i="181"/>
  <c r="G68" i="181" s="1"/>
  <c r="G131" i="181" s="1"/>
  <c r="H42" i="181"/>
  <c r="D40" i="177" l="1"/>
  <c r="B20" i="177"/>
  <c r="B45" i="177" s="1"/>
  <c r="B19" i="177"/>
  <c r="F15" i="177"/>
  <c r="F14" i="177"/>
  <c r="D55" i="177"/>
  <c r="D54" i="177"/>
  <c r="D53" i="177"/>
  <c r="D52" i="177"/>
  <c r="D51" i="177"/>
  <c r="D50" i="177"/>
  <c r="E13" i="177"/>
  <c r="F13" i="177" s="1"/>
  <c r="E12" i="177"/>
  <c r="E11" i="177"/>
  <c r="E10" i="177"/>
  <c r="E9" i="177"/>
  <c r="E8" i="177"/>
  <c r="F8" i="177" l="1"/>
  <c r="B40" i="177"/>
  <c r="F51" i="177"/>
  <c r="D30" i="189"/>
  <c r="F30" i="189" s="1"/>
  <c r="F52" i="177"/>
  <c r="D31" i="189"/>
  <c r="F31" i="189" s="1"/>
  <c r="G45" i="189"/>
  <c r="F50" i="177"/>
  <c r="D29" i="189"/>
  <c r="F29" i="189" s="1"/>
  <c r="F54" i="177"/>
  <c r="D33" i="189"/>
  <c r="F33" i="189" s="1"/>
  <c r="F55" i="177"/>
  <c r="D34" i="189"/>
  <c r="F34" i="189" s="1"/>
  <c r="F53" i="177"/>
  <c r="D32" i="189"/>
  <c r="F32" i="189" s="1"/>
  <c r="F40" i="177"/>
  <c r="F16" i="177"/>
  <c r="F39" i="158" s="1"/>
  <c r="B28" i="177"/>
  <c r="B31" i="177"/>
  <c r="B34" i="177"/>
  <c r="B24" i="177"/>
  <c r="E109" i="173" l="1"/>
  <c r="E109" i="174"/>
  <c r="F140" i="174" l="1"/>
  <c r="F127" i="174"/>
  <c r="F128" i="174" s="1"/>
  <c r="G115" i="174"/>
  <c r="F94" i="174"/>
  <c r="F95" i="174" s="1"/>
  <c r="F86" i="174"/>
  <c r="F102" i="174" s="1"/>
  <c r="F72" i="174"/>
  <c r="G61" i="174"/>
  <c r="E59" i="174"/>
  <c r="G59" i="174" s="1"/>
  <c r="E58" i="174"/>
  <c r="G58" i="174" s="1"/>
  <c r="G57" i="174"/>
  <c r="G56" i="174"/>
  <c r="E55" i="174"/>
  <c r="G55" i="174" s="1"/>
  <c r="E54" i="174"/>
  <c r="G54" i="174" s="1"/>
  <c r="F51" i="174"/>
  <c r="F90" i="174" s="1"/>
  <c r="F38" i="174"/>
  <c r="F37" i="174"/>
  <c r="F31" i="174"/>
  <c r="F32" i="174" s="1"/>
  <c r="G32" i="174" s="1"/>
  <c r="G30" i="174"/>
  <c r="G29" i="174"/>
  <c r="G28" i="174"/>
  <c r="G27" i="174"/>
  <c r="G53" i="174" s="1"/>
  <c r="F140" i="173"/>
  <c r="F127" i="173"/>
  <c r="F128" i="173" s="1"/>
  <c r="G115" i="173"/>
  <c r="G114" i="173"/>
  <c r="F94" i="173"/>
  <c r="F86" i="173"/>
  <c r="F102" i="173" s="1"/>
  <c r="F72" i="173"/>
  <c r="G61" i="173"/>
  <c r="G60" i="173"/>
  <c r="E59" i="173"/>
  <c r="G59" i="173" s="1"/>
  <c r="E58" i="173"/>
  <c r="G58" i="173" s="1"/>
  <c r="G57" i="173"/>
  <c r="G56" i="173"/>
  <c r="G55" i="173"/>
  <c r="E54" i="173"/>
  <c r="G54" i="173" s="1"/>
  <c r="F51" i="173"/>
  <c r="F38" i="173"/>
  <c r="F37" i="173"/>
  <c r="F31" i="173"/>
  <c r="F32" i="173" s="1"/>
  <c r="G32" i="173" s="1"/>
  <c r="G30" i="173"/>
  <c r="G29" i="173"/>
  <c r="G28" i="173"/>
  <c r="G27" i="173"/>
  <c r="G53" i="173" s="1"/>
  <c r="F39" i="174" l="1"/>
  <c r="F40" i="174" s="1"/>
  <c r="F41" i="174" s="1"/>
  <c r="F65" i="174" s="1"/>
  <c r="F66" i="173"/>
  <c r="F90" i="173"/>
  <c r="F39" i="173"/>
  <c r="F96" i="174"/>
  <c r="F104" i="174" s="1"/>
  <c r="F75" i="173"/>
  <c r="F99" i="174"/>
  <c r="F100" i="174" s="1"/>
  <c r="F105" i="174" s="1"/>
  <c r="G63" i="174"/>
  <c r="G67" i="174" s="1"/>
  <c r="G31" i="174"/>
  <c r="G34" i="174" s="1"/>
  <c r="F89" i="174"/>
  <c r="F92" i="174" s="1"/>
  <c r="F103" i="174" s="1"/>
  <c r="F66" i="174"/>
  <c r="F75" i="174"/>
  <c r="F77" i="174" s="1"/>
  <c r="G63" i="173"/>
  <c r="G67" i="173" s="1"/>
  <c r="F77" i="173"/>
  <c r="F96" i="173"/>
  <c r="F104" i="173" s="1"/>
  <c r="G31" i="173"/>
  <c r="G34" i="173" s="1"/>
  <c r="F95" i="173"/>
  <c r="F89" i="173"/>
  <c r="F99" i="173"/>
  <c r="F100" i="173" s="1"/>
  <c r="F105" i="173" s="1"/>
  <c r="F40" i="173"/>
  <c r="F41" i="173" s="1"/>
  <c r="F65" i="173" s="1"/>
  <c r="F92" i="173" l="1"/>
  <c r="F103" i="173" s="1"/>
  <c r="G99" i="174"/>
  <c r="G40" i="174"/>
  <c r="G94" i="174"/>
  <c r="G89" i="174"/>
  <c r="H86" i="174"/>
  <c r="G82" i="174"/>
  <c r="G80" i="174"/>
  <c r="G76" i="174"/>
  <c r="H51" i="174"/>
  <c r="G49" i="174"/>
  <c r="G45" i="174"/>
  <c r="H41" i="174"/>
  <c r="G37" i="174"/>
  <c r="G95" i="174"/>
  <c r="H92" i="174"/>
  <c r="G90" i="174"/>
  <c r="G88" i="174"/>
  <c r="G83" i="174"/>
  <c r="G81" i="174"/>
  <c r="G38" i="174"/>
  <c r="G130" i="174"/>
  <c r="H96" i="174"/>
  <c r="G74" i="174"/>
  <c r="G72" i="174"/>
  <c r="G98" i="174"/>
  <c r="G100" i="174" s="1"/>
  <c r="G105" i="174" s="1"/>
  <c r="G91" i="174"/>
  <c r="G84" i="174"/>
  <c r="H77" i="174"/>
  <c r="G75" i="174"/>
  <c r="G73" i="174"/>
  <c r="G71" i="174"/>
  <c r="G48" i="174"/>
  <c r="G44" i="174"/>
  <c r="H100" i="174" s="1"/>
  <c r="G47" i="174"/>
  <c r="G43" i="174"/>
  <c r="G85" i="174"/>
  <c r="G50" i="174"/>
  <c r="G46" i="174"/>
  <c r="G130" i="173"/>
  <c r="G95" i="173"/>
  <c r="G90" i="173"/>
  <c r="G88" i="173"/>
  <c r="G83" i="173"/>
  <c r="G81" i="173"/>
  <c r="G50" i="173"/>
  <c r="G46" i="173"/>
  <c r="G40" i="173"/>
  <c r="G85" i="173"/>
  <c r="G72" i="173"/>
  <c r="G89" i="173"/>
  <c r="H86" i="173"/>
  <c r="G48" i="173"/>
  <c r="G44" i="173"/>
  <c r="H100" i="173" s="1"/>
  <c r="G98" i="173"/>
  <c r="G91" i="173"/>
  <c r="G47" i="173"/>
  <c r="G43" i="173"/>
  <c r="G38" i="173"/>
  <c r="G99" i="173"/>
  <c r="H96" i="173"/>
  <c r="G74" i="173"/>
  <c r="H51" i="173"/>
  <c r="G49" i="173"/>
  <c r="G45" i="173"/>
  <c r="H41" i="173"/>
  <c r="G37" i="173"/>
  <c r="G94" i="173"/>
  <c r="G82" i="173"/>
  <c r="G80" i="173"/>
  <c r="G76" i="173"/>
  <c r="G84" i="173"/>
  <c r="H77" i="173"/>
  <c r="G75" i="173"/>
  <c r="G73" i="173"/>
  <c r="G71" i="173"/>
  <c r="G96" i="173" l="1"/>
  <c r="G104" i="173" s="1"/>
  <c r="G41" i="173"/>
  <c r="H42" i="173" s="1"/>
  <c r="H92" i="173"/>
  <c r="G86" i="173"/>
  <c r="G102" i="173" s="1"/>
  <c r="G51" i="173"/>
  <c r="G66" i="173" s="1"/>
  <c r="G51" i="174"/>
  <c r="G66" i="174" s="1"/>
  <c r="G77" i="174"/>
  <c r="G132" i="174" s="1"/>
  <c r="G86" i="174"/>
  <c r="G102" i="174" s="1"/>
  <c r="G96" i="174"/>
  <c r="G104" i="174" s="1"/>
  <c r="G92" i="174"/>
  <c r="G103" i="174" s="1"/>
  <c r="G41" i="174"/>
  <c r="G77" i="173"/>
  <c r="G132" i="173" s="1"/>
  <c r="G100" i="173"/>
  <c r="G105" i="173" s="1"/>
  <c r="G92" i="173"/>
  <c r="G103" i="173" s="1"/>
  <c r="G65" i="173" l="1"/>
  <c r="G68" i="173" s="1"/>
  <c r="G131" i="173" s="1"/>
  <c r="G106" i="173"/>
  <c r="G133" i="173" s="1"/>
  <c r="G65" i="174"/>
  <c r="G68" i="174" s="1"/>
  <c r="G131" i="174" s="1"/>
  <c r="H42" i="174"/>
  <c r="G106" i="174"/>
  <c r="G133" i="174" s="1"/>
  <c r="B42" i="165" l="1"/>
  <c r="D50" i="165" l="1"/>
  <c r="D11" i="189" l="1"/>
  <c r="F11" i="189" s="1"/>
  <c r="F12" i="189"/>
  <c r="F15" i="165"/>
  <c r="G23" i="189" s="1"/>
  <c r="G101" i="189" s="1"/>
  <c r="F72" i="148"/>
  <c r="E11" i="165" l="1"/>
  <c r="E12" i="165"/>
  <c r="K23" i="158" l="1"/>
  <c r="K24" i="158"/>
  <c r="K25" i="158"/>
  <c r="K26" i="158"/>
  <c r="K27" i="158"/>
  <c r="K28" i="158"/>
  <c r="K29" i="158"/>
  <c r="K30" i="158"/>
  <c r="K31" i="158"/>
  <c r="K32" i="158"/>
  <c r="K33" i="158"/>
  <c r="K34" i="158"/>
  <c r="K35" i="158"/>
  <c r="K36" i="158"/>
  <c r="K37" i="158"/>
  <c r="K22" i="158"/>
  <c r="K21" i="158"/>
  <c r="I23" i="158"/>
  <c r="I24" i="158"/>
  <c r="I25" i="158"/>
  <c r="I26" i="158"/>
  <c r="I27" i="158"/>
  <c r="I28" i="158"/>
  <c r="I29" i="158"/>
  <c r="I30" i="158"/>
  <c r="I31" i="158"/>
  <c r="I32" i="158"/>
  <c r="I33" i="158"/>
  <c r="I34" i="158"/>
  <c r="I35" i="158"/>
  <c r="I36" i="158"/>
  <c r="I37" i="158"/>
  <c r="I22" i="158"/>
  <c r="I21" i="158"/>
  <c r="E23" i="158"/>
  <c r="E24" i="158"/>
  <c r="E25" i="158"/>
  <c r="E26" i="158"/>
  <c r="E27" i="158"/>
  <c r="E28" i="158"/>
  <c r="E29" i="158"/>
  <c r="E30" i="158"/>
  <c r="E31" i="158"/>
  <c r="E32" i="158"/>
  <c r="E33" i="158"/>
  <c r="E34" i="158"/>
  <c r="E35" i="158"/>
  <c r="E36" i="158"/>
  <c r="E37" i="158"/>
  <c r="E22" i="158"/>
  <c r="K20" i="158"/>
  <c r="J20" i="158"/>
  <c r="I9" i="158"/>
  <c r="I10" i="158"/>
  <c r="I11" i="158"/>
  <c r="I12" i="158"/>
  <c r="I13" i="158"/>
  <c r="I14" i="158"/>
  <c r="I15" i="158"/>
  <c r="I16" i="158"/>
  <c r="I8" i="158"/>
  <c r="I7" i="158"/>
  <c r="E9" i="158"/>
  <c r="E10" i="158"/>
  <c r="E11" i="158"/>
  <c r="E12" i="158"/>
  <c r="E13" i="158"/>
  <c r="E14" i="158"/>
  <c r="E15" i="158"/>
  <c r="E16" i="158"/>
  <c r="E8" i="158"/>
  <c r="J39" i="158" l="1"/>
  <c r="E109" i="204" s="1"/>
  <c r="G109" i="204" s="1"/>
  <c r="I17" i="158"/>
  <c r="E17" i="158"/>
  <c r="C19" i="158"/>
  <c r="B19" i="158"/>
  <c r="I20" i="158"/>
  <c r="H20" i="158"/>
  <c r="E20" i="158"/>
  <c r="D20" i="158"/>
  <c r="J19" i="158"/>
  <c r="H19" i="158"/>
  <c r="D19" i="158"/>
  <c r="E109" i="202" l="1"/>
  <c r="G109" i="202" s="1"/>
  <c r="E109" i="198"/>
  <c r="G109" i="198" s="1"/>
  <c r="E109" i="196"/>
  <c r="G109" i="196" s="1"/>
  <c r="E109" i="200"/>
  <c r="G109" i="200" s="1"/>
  <c r="E109" i="197"/>
  <c r="G109" i="197" s="1"/>
  <c r="E109" i="195"/>
  <c r="G109" i="195" s="1"/>
  <c r="E109" i="158"/>
  <c r="H39" i="158"/>
  <c r="E108" i="193"/>
  <c r="G108" i="193" s="1"/>
  <c r="E108" i="181"/>
  <c r="E108" i="186"/>
  <c r="E108" i="99"/>
  <c r="E108" i="148"/>
  <c r="G113" i="174"/>
  <c r="G113" i="173"/>
  <c r="E109" i="193" l="1"/>
  <c r="G109" i="193" s="1"/>
  <c r="G116" i="193" s="1"/>
  <c r="G134" i="193" s="1"/>
  <c r="G135" i="193" s="1"/>
  <c r="G119" i="193" s="1"/>
  <c r="G120" i="193" s="1"/>
  <c r="E109" i="181"/>
  <c r="G109" i="181" s="1"/>
  <c r="E109" i="186"/>
  <c r="G109" i="186" s="1"/>
  <c r="E37" i="165" l="1"/>
  <c r="K14" i="158" l="1"/>
  <c r="K15" i="158"/>
  <c r="E54" i="148"/>
  <c r="E55" i="148"/>
  <c r="E59" i="99"/>
  <c r="E58" i="99"/>
  <c r="E54" i="99"/>
  <c r="G60" i="99"/>
  <c r="G115" i="148" l="1"/>
  <c r="D52" i="165"/>
  <c r="D49" i="165"/>
  <c r="D10" i="189" s="1"/>
  <c r="F10" i="189" s="1"/>
  <c r="D48" i="165"/>
  <c r="D9" i="189" s="1"/>
  <c r="F9" i="189" s="1"/>
  <c r="D47" i="165"/>
  <c r="D8" i="189" s="1"/>
  <c r="F8" i="189" s="1"/>
  <c r="B19" i="165"/>
  <c r="D13" i="189" l="1"/>
  <c r="F13" i="189" s="1"/>
  <c r="B28" i="165"/>
  <c r="F52" i="165"/>
  <c r="F50" i="165"/>
  <c r="F49" i="165"/>
  <c r="F48" i="165"/>
  <c r="F47" i="165"/>
  <c r="B37" i="165"/>
  <c r="B31" i="165"/>
  <c r="B24" i="165" l="1"/>
  <c r="E10" i="165"/>
  <c r="E13" i="165"/>
  <c r="F13" i="165" s="1"/>
  <c r="E9" i="165"/>
  <c r="E8" i="165"/>
  <c r="G113" i="186" l="1"/>
  <c r="F8" i="165"/>
  <c r="F37" i="165"/>
  <c r="G109" i="174" l="1"/>
  <c r="G109" i="173"/>
  <c r="K16" i="158"/>
  <c r="K13" i="158"/>
  <c r="K12" i="158"/>
  <c r="K11" i="158"/>
  <c r="K10" i="158"/>
  <c r="K9" i="158"/>
  <c r="K8" i="158"/>
  <c r="K7" i="158"/>
  <c r="F14" i="165" l="1"/>
  <c r="G22" i="189" s="1"/>
  <c r="K17" i="158"/>
  <c r="E108" i="204" l="1"/>
  <c r="G108" i="204" s="1"/>
  <c r="G116" i="204" s="1"/>
  <c r="G134" i="204" s="1"/>
  <c r="G135" i="204" s="1"/>
  <c r="G119" i="204" s="1"/>
  <c r="G120" i="204" s="1"/>
  <c r="E108" i="202"/>
  <c r="G108" i="202" s="1"/>
  <c r="G116" i="202" s="1"/>
  <c r="G134" i="202" s="1"/>
  <c r="G135" i="202" s="1"/>
  <c r="G119" i="202" s="1"/>
  <c r="G120" i="202" s="1"/>
  <c r="G100" i="189"/>
  <c r="H107" i="189" s="1"/>
  <c r="E108" i="198"/>
  <c r="G108" i="198" s="1"/>
  <c r="G116" i="198" s="1"/>
  <c r="G134" i="198" s="1"/>
  <c r="G135" i="198" s="1"/>
  <c r="E108" i="200"/>
  <c r="G108" i="200" s="1"/>
  <c r="G116" i="200" s="1"/>
  <c r="G134" i="200" s="1"/>
  <c r="G135" i="200" s="1"/>
  <c r="E108" i="195"/>
  <c r="G108" i="195" s="1"/>
  <c r="G116" i="195" s="1"/>
  <c r="G134" i="195" s="1"/>
  <c r="G135" i="195" s="1"/>
  <c r="G119" i="195" s="1"/>
  <c r="G120" i="195" s="1"/>
  <c r="E108" i="196"/>
  <c r="G108" i="196" s="1"/>
  <c r="G116" i="196" s="1"/>
  <c r="G134" i="196" s="1"/>
  <c r="G135" i="196" s="1"/>
  <c r="G119" i="196" s="1"/>
  <c r="G120" i="196" s="1"/>
  <c r="E108" i="197"/>
  <c r="G108" i="197" s="1"/>
  <c r="G116" i="197" s="1"/>
  <c r="G134" i="197" s="1"/>
  <c r="G135" i="197" s="1"/>
  <c r="F16" i="165"/>
  <c r="D39" i="158" s="1"/>
  <c r="G108" i="186"/>
  <c r="G108" i="181"/>
  <c r="G116" i="181" s="1"/>
  <c r="G134" i="181" s="1"/>
  <c r="G135" i="181" s="1"/>
  <c r="G24" i="189"/>
  <c r="G112" i="186"/>
  <c r="G110" i="174"/>
  <c r="G112" i="173"/>
  <c r="G111" i="173"/>
  <c r="G111" i="174"/>
  <c r="G108" i="173"/>
  <c r="G110" i="173"/>
  <c r="G112" i="174"/>
  <c r="G108" i="174"/>
  <c r="G108" i="148"/>
  <c r="G111" i="148"/>
  <c r="G116" i="186" l="1"/>
  <c r="G134" i="186" s="1"/>
  <c r="G135" i="186" s="1"/>
  <c r="G119" i="186" s="1"/>
  <c r="G120" i="186" s="1"/>
  <c r="G119" i="197"/>
  <c r="G120" i="197" s="1"/>
  <c r="G119" i="200"/>
  <c r="G120" i="200" s="1"/>
  <c r="G119" i="198"/>
  <c r="G120" i="198" s="1"/>
  <c r="E109" i="99"/>
  <c r="E109" i="148"/>
  <c r="G119" i="181"/>
  <c r="G120" i="181" s="1"/>
  <c r="G116" i="174"/>
  <c r="G134" i="174" s="1"/>
  <c r="G135" i="174" s="1"/>
  <c r="G119" i="174" s="1"/>
  <c r="G120" i="174" s="1"/>
  <c r="G116" i="173"/>
  <c r="G134" i="173" s="1"/>
  <c r="G135" i="173" s="1"/>
  <c r="E59" i="148"/>
  <c r="E58" i="148"/>
  <c r="G119" i="173" l="1"/>
  <c r="G120" i="173" s="1"/>
  <c r="F140" i="148"/>
  <c r="F127" i="148"/>
  <c r="F128" i="148" s="1"/>
  <c r="G112" i="148"/>
  <c r="G110" i="148"/>
  <c r="F94" i="148"/>
  <c r="G61" i="148"/>
  <c r="G60" i="148"/>
  <c r="G59" i="148"/>
  <c r="G57" i="148"/>
  <c r="G56" i="148"/>
  <c r="G55" i="148"/>
  <c r="G54" i="148"/>
  <c r="G58" i="148"/>
  <c r="F51" i="148"/>
  <c r="F90" i="148" s="1"/>
  <c r="F38" i="148"/>
  <c r="F37" i="148"/>
  <c r="F31" i="148"/>
  <c r="F32" i="148" s="1"/>
  <c r="G32" i="148" s="1"/>
  <c r="G30" i="148"/>
  <c r="G29" i="148"/>
  <c r="G28" i="148"/>
  <c r="G27" i="148"/>
  <c r="F75" i="148" l="1"/>
  <c r="F77" i="148" s="1"/>
  <c r="F99" i="148"/>
  <c r="F100" i="148" s="1"/>
  <c r="F105" i="148" s="1"/>
  <c r="F86" i="148"/>
  <c r="F102" i="148" s="1"/>
  <c r="F39" i="148"/>
  <c r="F66" i="148"/>
  <c r="F89" i="148"/>
  <c r="G31" i="148"/>
  <c r="G34" i="148" s="1"/>
  <c r="F95" i="148"/>
  <c r="F96" i="148" s="1"/>
  <c r="F104" i="148" s="1"/>
  <c r="F40" i="148"/>
  <c r="F41" i="148" s="1"/>
  <c r="F65" i="148" s="1"/>
  <c r="G53" i="148"/>
  <c r="G63" i="148" s="1"/>
  <c r="G67" i="148" s="1"/>
  <c r="F92" i="148" l="1"/>
  <c r="F103" i="148" s="1"/>
  <c r="G99" i="148"/>
  <c r="G85" i="148"/>
  <c r="G74" i="148"/>
  <c r="G43" i="148"/>
  <c r="G38" i="148"/>
  <c r="G94" i="148"/>
  <c r="G89" i="148"/>
  <c r="G80" i="148"/>
  <c r="G50" i="148"/>
  <c r="G98" i="148"/>
  <c r="G84" i="148"/>
  <c r="H77" i="148"/>
  <c r="G73" i="148"/>
  <c r="G49" i="148"/>
  <c r="H41" i="148"/>
  <c r="G37" i="148"/>
  <c r="G48" i="148"/>
  <c r="G95" i="148"/>
  <c r="G90" i="148"/>
  <c r="H92" i="148"/>
  <c r="G88" i="148"/>
  <c r="G83" i="148"/>
  <c r="G81" i="148"/>
  <c r="G44" i="148"/>
  <c r="H100" i="148" s="1"/>
  <c r="H96" i="148"/>
  <c r="G72" i="148"/>
  <c r="G47" i="148"/>
  <c r="H86" i="148"/>
  <c r="G82" i="148"/>
  <c r="G76" i="148"/>
  <c r="G46" i="148"/>
  <c r="G40" i="148"/>
  <c r="G91" i="148"/>
  <c r="G75" i="148"/>
  <c r="G71" i="148"/>
  <c r="H51" i="148"/>
  <c r="G45" i="148"/>
  <c r="G130" i="148"/>
  <c r="G41" i="148" l="1"/>
  <c r="G65" i="148" s="1"/>
  <c r="G86" i="148"/>
  <c r="G102" i="148" s="1"/>
  <c r="G77" i="148"/>
  <c r="G132" i="148" s="1"/>
  <c r="G96" i="148"/>
  <c r="G104" i="148" s="1"/>
  <c r="G92" i="148"/>
  <c r="G103" i="148" s="1"/>
  <c r="G51" i="148"/>
  <c r="G66" i="148" s="1"/>
  <c r="G100" i="148"/>
  <c r="G105" i="148" s="1"/>
  <c r="H42" i="148" l="1"/>
  <c r="G106" i="148"/>
  <c r="G133" i="148" s="1"/>
  <c r="G68" i="148"/>
  <c r="G131" i="148" s="1"/>
  <c r="F94" i="99" l="1"/>
  <c r="G59" i="99" l="1"/>
  <c r="G58" i="99"/>
  <c r="F38" i="99" l="1"/>
  <c r="F37" i="99"/>
  <c r="G61" i="99" l="1"/>
  <c r="G57" i="99"/>
  <c r="G56" i="99"/>
  <c r="G55" i="99"/>
  <c r="F31" i="99"/>
  <c r="F32" i="99" s="1"/>
  <c r="G32" i="99" s="1"/>
  <c r="G30" i="99"/>
  <c r="G29" i="99"/>
  <c r="G28" i="99"/>
  <c r="G27" i="99"/>
  <c r="G53" i="99" s="1"/>
  <c r="G54" i="99" l="1"/>
  <c r="G31" i="99"/>
  <c r="G34" i="99" s="1"/>
  <c r="G130" i="99" l="1"/>
  <c r="G98" i="99"/>
  <c r="G94" i="99"/>
  <c r="F127" i="99" l="1"/>
  <c r="F72" i="99" l="1"/>
  <c r="F51" i="99"/>
  <c r="F90" i="99" s="1"/>
  <c r="F99" i="99" l="1"/>
  <c r="F95" i="99"/>
  <c r="F89" i="99"/>
  <c r="F75" i="99"/>
  <c r="F77" i="99" s="1"/>
  <c r="G95" i="99" l="1"/>
  <c r="G96" i="99" s="1"/>
  <c r="F96" i="99"/>
  <c r="G99" i="99"/>
  <c r="G100" i="99" s="1"/>
  <c r="F100" i="99"/>
  <c r="F92" i="99"/>
  <c r="F140" i="99"/>
  <c r="F105" i="99" l="1"/>
  <c r="F86" i="99" l="1"/>
  <c r="F39" i="99"/>
  <c r="F40" i="99" s="1"/>
  <c r="F41" i="99" s="1"/>
  <c r="F102" i="99" l="1"/>
  <c r="F128"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2" i="99" s="1"/>
  <c r="G86" i="99"/>
  <c r="G102" i="99" s="1"/>
  <c r="G51" i="99"/>
  <c r="G66" i="99" s="1"/>
  <c r="G41" i="99"/>
  <c r="G92" i="99"/>
  <c r="G103" i="99" s="1"/>
  <c r="G65" i="99" l="1"/>
  <c r="H42" i="99"/>
  <c r="G106" i="99"/>
  <c r="G133" i="99" s="1"/>
  <c r="G68" i="99" l="1"/>
  <c r="G131" i="99" s="1"/>
  <c r="G113" i="148" l="1"/>
  <c r="G116" i="148" s="1"/>
  <c r="G134" i="148" s="1"/>
  <c r="G135" i="148" s="1"/>
  <c r="G119" i="148" s="1"/>
  <c r="G120" i="148" s="1"/>
  <c r="G116" i="99"/>
  <c r="G134" i="99" s="1"/>
  <c r="G135" i="99" s="1"/>
  <c r="G119" i="99" s="1"/>
  <c r="G120" i="99" l="1"/>
  <c r="E51" i="165" l="1"/>
  <c r="G51" i="165" s="1"/>
  <c r="E12" i="189"/>
  <c r="G12" i="189" s="1"/>
  <c r="G38" i="189" l="1"/>
  <c r="G109" i="199" l="1"/>
  <c r="G116" i="199" s="1"/>
  <c r="G134" i="199" s="1"/>
  <c r="G135" i="199" s="1"/>
  <c r="G119" i="199" s="1"/>
  <c r="G120" i="199" s="1"/>
  <c r="G109" i="203"/>
  <c r="G116" i="203" s="1"/>
  <c r="G134" i="203" s="1"/>
  <c r="G135" i="203" s="1"/>
  <c r="G119" i="203" s="1"/>
  <c r="G120" i="203" s="1"/>
  <c r="G109" i="205"/>
  <c r="G116" i="205" s="1"/>
  <c r="G134" i="205" s="1"/>
  <c r="G135" i="205" s="1"/>
  <c r="G119" i="205" s="1"/>
  <c r="G120" i="205" s="1"/>
  <c r="G122" i="204"/>
  <c r="G123" i="204"/>
  <c r="G124" i="204"/>
  <c r="G125" i="204"/>
  <c r="G126" i="204"/>
  <c r="G127" i="204"/>
  <c r="H127" i="204"/>
  <c r="G128" i="204"/>
  <c r="G136" i="204"/>
  <c r="G137" i="204"/>
  <c r="H137" i="204"/>
  <c r="G139" i="204"/>
  <c r="G140" i="204"/>
  <c r="G122" i="195"/>
  <c r="G123" i="195"/>
  <c r="G124" i="195"/>
  <c r="G125" i="195"/>
  <c r="G126" i="195"/>
  <c r="G127" i="195"/>
  <c r="H127" i="195"/>
  <c r="G128" i="195"/>
  <c r="G136" i="195"/>
  <c r="G137" i="195"/>
  <c r="H137" i="195"/>
  <c r="G139" i="195"/>
  <c r="G140" i="195"/>
  <c r="G122" i="196"/>
  <c r="G123" i="196"/>
  <c r="G124" i="196"/>
  <c r="G125" i="196"/>
  <c r="G126" i="196"/>
  <c r="G127" i="196"/>
  <c r="H127" i="196"/>
  <c r="G128" i="196"/>
  <c r="G136" i="196"/>
  <c r="G137" i="196"/>
  <c r="H137" i="196"/>
  <c r="G139" i="196"/>
  <c r="G140" i="196"/>
  <c r="G122" i="99"/>
  <c r="G123" i="99"/>
  <c r="G124" i="99"/>
  <c r="G125" i="99"/>
  <c r="G126" i="99"/>
  <c r="G127" i="99"/>
  <c r="H127" i="99"/>
  <c r="G128" i="99"/>
  <c r="G136" i="99"/>
  <c r="G137" i="99"/>
  <c r="H137" i="99"/>
  <c r="G139" i="99"/>
  <c r="G140" i="99"/>
  <c r="G122" i="173"/>
  <c r="G123" i="173"/>
  <c r="G124" i="173"/>
  <c r="G125" i="173"/>
  <c r="G126" i="173"/>
  <c r="G127" i="173"/>
  <c r="H127" i="173"/>
  <c r="G128" i="173"/>
  <c r="G136" i="173"/>
  <c r="G137" i="173"/>
  <c r="H137" i="173"/>
  <c r="G139" i="173"/>
  <c r="G140" i="173"/>
  <c r="G122" i="193"/>
  <c r="G123" i="193"/>
  <c r="G124" i="193"/>
  <c r="G125" i="193"/>
  <c r="G126" i="193"/>
  <c r="G127" i="193"/>
  <c r="H127" i="193"/>
  <c r="G128" i="193"/>
  <c r="G136" i="193"/>
  <c r="G137" i="193"/>
  <c r="H137" i="193"/>
  <c r="G139" i="193"/>
  <c r="G140" i="193"/>
  <c r="G122" i="203"/>
  <c r="G123" i="203"/>
  <c r="G124" i="203"/>
  <c r="G125" i="203"/>
  <c r="G126" i="203"/>
  <c r="G127" i="203"/>
  <c r="H127" i="203"/>
  <c r="G128" i="203"/>
  <c r="G136" i="203"/>
  <c r="G137" i="203"/>
  <c r="H137" i="203"/>
  <c r="G139" i="203"/>
  <c r="G140" i="203"/>
  <c r="G142" i="203"/>
  <c r="G143" i="203"/>
  <c r="G122" i="199"/>
  <c r="G123" i="199"/>
  <c r="G124" i="199"/>
  <c r="G125" i="199"/>
  <c r="G126" i="199"/>
  <c r="G127" i="199"/>
  <c r="H127" i="199"/>
  <c r="G128" i="199"/>
  <c r="G136" i="199"/>
  <c r="G137" i="199"/>
  <c r="H137" i="199"/>
  <c r="G139" i="199"/>
  <c r="G140" i="199"/>
  <c r="G142" i="199"/>
  <c r="G143" i="199"/>
  <c r="G122" i="205"/>
  <c r="G123" i="205"/>
  <c r="G124" i="205"/>
  <c r="G125" i="205"/>
  <c r="G126" i="205"/>
  <c r="G127" i="205"/>
  <c r="H127" i="205"/>
  <c r="G128" i="205"/>
  <c r="G136" i="205"/>
  <c r="G137" i="205"/>
  <c r="H137" i="205"/>
  <c r="G139" i="205"/>
  <c r="G140" i="205"/>
  <c r="G122" i="200"/>
  <c r="G123" i="200"/>
  <c r="G124" i="200"/>
  <c r="G125" i="200"/>
  <c r="G126" i="200"/>
  <c r="G127" i="200"/>
  <c r="H127" i="200"/>
  <c r="G128" i="200"/>
  <c r="G136" i="200"/>
  <c r="G137" i="200"/>
  <c r="H137" i="200"/>
  <c r="G139" i="200"/>
  <c r="G140" i="200"/>
  <c r="G122" i="148"/>
  <c r="G123" i="148"/>
  <c r="G124" i="148"/>
  <c r="G125" i="148"/>
  <c r="G126" i="148"/>
  <c r="G127" i="148"/>
  <c r="H127" i="148"/>
  <c r="G128" i="148"/>
  <c r="G136" i="148"/>
  <c r="G137" i="148"/>
  <c r="H137" i="148"/>
  <c r="G139" i="148"/>
  <c r="G140" i="148"/>
  <c r="G122" i="174"/>
  <c r="G123" i="174"/>
  <c r="G124" i="174"/>
  <c r="G125" i="174"/>
  <c r="G126" i="174"/>
  <c r="G127" i="174"/>
  <c r="H127" i="174"/>
  <c r="G128" i="174"/>
  <c r="G136" i="174"/>
  <c r="G137" i="174"/>
  <c r="H137" i="174"/>
  <c r="G139" i="174"/>
  <c r="G140" i="174"/>
  <c r="G122" i="181"/>
  <c r="G123" i="181"/>
  <c r="G124" i="181"/>
  <c r="G125" i="181"/>
  <c r="G126" i="181"/>
  <c r="G127" i="181"/>
  <c r="H127" i="181"/>
  <c r="G128" i="181"/>
  <c r="G136" i="181"/>
  <c r="G137" i="181"/>
  <c r="H137" i="181"/>
  <c r="G139" i="181"/>
  <c r="G140" i="181"/>
  <c r="G122" i="197"/>
  <c r="G123" i="197"/>
  <c r="G124" i="197"/>
  <c r="G125" i="197"/>
  <c r="G126" i="197"/>
  <c r="G127" i="197"/>
  <c r="H127" i="197"/>
  <c r="G128" i="197"/>
  <c r="G136" i="197"/>
  <c r="G137" i="197"/>
  <c r="H137" i="197"/>
  <c r="G139" i="197"/>
  <c r="G140" i="197"/>
  <c r="G122" i="186"/>
  <c r="G123" i="186"/>
  <c r="G124" i="186"/>
  <c r="G125" i="186"/>
  <c r="G126" i="186"/>
  <c r="G127" i="186"/>
  <c r="H127" i="186"/>
  <c r="G128" i="186"/>
  <c r="G136" i="186"/>
  <c r="G137" i="186"/>
  <c r="H137" i="186"/>
  <c r="G139" i="186"/>
  <c r="G140" i="186"/>
  <c r="C8" i="189"/>
  <c r="E8" i="189"/>
  <c r="G8" i="189"/>
  <c r="C9" i="189"/>
  <c r="E9" i="189"/>
  <c r="G9" i="189"/>
  <c r="C10" i="189"/>
  <c r="E10" i="189"/>
  <c r="G10" i="189"/>
  <c r="C11" i="189"/>
  <c r="E11" i="189"/>
  <c r="G11" i="189"/>
  <c r="C13" i="189"/>
  <c r="E13" i="189"/>
  <c r="G13" i="189"/>
  <c r="G14" i="189"/>
  <c r="G15" i="189"/>
  <c r="G20" i="189"/>
  <c r="G21" i="189"/>
  <c r="C29" i="189"/>
  <c r="E29" i="189"/>
  <c r="G29" i="189"/>
  <c r="C30" i="189"/>
  <c r="E30" i="189"/>
  <c r="G30" i="189"/>
  <c r="C31" i="189"/>
  <c r="E31" i="189"/>
  <c r="G31" i="189"/>
  <c r="C32" i="189"/>
  <c r="E32" i="189"/>
  <c r="G32" i="189"/>
  <c r="C33" i="189"/>
  <c r="E33" i="189"/>
  <c r="G33" i="189"/>
  <c r="C34" i="189"/>
  <c r="E34" i="189"/>
  <c r="G34" i="189"/>
  <c r="G35" i="189"/>
  <c r="G36" i="189"/>
  <c r="G41" i="189"/>
  <c r="G42" i="189"/>
  <c r="C50" i="189"/>
  <c r="E50" i="189"/>
  <c r="G50" i="189"/>
  <c r="C51" i="189"/>
  <c r="E51" i="189"/>
  <c r="G51" i="189"/>
  <c r="C52" i="189"/>
  <c r="E52" i="189"/>
  <c r="G52" i="189"/>
  <c r="C53" i="189"/>
  <c r="E53" i="189"/>
  <c r="G53" i="189"/>
  <c r="C54" i="189"/>
  <c r="E54" i="189"/>
  <c r="G54" i="189"/>
  <c r="C55" i="189"/>
  <c r="E55" i="189"/>
  <c r="G55" i="189"/>
  <c r="G56" i="189"/>
  <c r="G57" i="189"/>
  <c r="G60" i="189"/>
  <c r="G61" i="189"/>
  <c r="G62" i="189"/>
  <c r="G63" i="189"/>
  <c r="C74" i="189"/>
  <c r="E74" i="189"/>
  <c r="G74" i="189"/>
  <c r="C75" i="189"/>
  <c r="E75" i="189"/>
  <c r="G75" i="189"/>
  <c r="C76" i="189"/>
  <c r="E76" i="189"/>
  <c r="G76" i="189"/>
  <c r="C77" i="189"/>
  <c r="E77" i="189"/>
  <c r="G77" i="189"/>
  <c r="C78" i="189"/>
  <c r="E78" i="189"/>
  <c r="G78" i="189"/>
  <c r="C79" i="189"/>
  <c r="E79" i="189"/>
  <c r="G79" i="189"/>
  <c r="G80" i="189"/>
  <c r="G81" i="189"/>
  <c r="G84" i="189"/>
  <c r="G85" i="189"/>
  <c r="G86" i="189"/>
  <c r="G87" i="189"/>
  <c r="G99" i="189"/>
  <c r="C19" i="165"/>
  <c r="C20" i="165"/>
  <c r="D24" i="165"/>
  <c r="E24" i="165"/>
  <c r="E25" i="165"/>
  <c r="D28" i="165"/>
  <c r="E28" i="165"/>
  <c r="E29" i="165"/>
  <c r="D31" i="165"/>
  <c r="E31" i="165"/>
  <c r="E32" i="165"/>
  <c r="G37" i="165"/>
  <c r="H37" i="165"/>
  <c r="H38" i="165"/>
  <c r="D42" i="165"/>
  <c r="E42" i="165"/>
  <c r="E43" i="165"/>
  <c r="C47" i="165"/>
  <c r="E47" i="165"/>
  <c r="G47" i="165"/>
  <c r="C48" i="165"/>
  <c r="E48" i="165"/>
  <c r="G48" i="165"/>
  <c r="C49" i="165"/>
  <c r="E49" i="165"/>
  <c r="G49" i="165"/>
  <c r="C50" i="165"/>
  <c r="E50" i="165"/>
  <c r="G50" i="165"/>
  <c r="C52" i="165"/>
  <c r="E52" i="165"/>
  <c r="G52" i="165"/>
  <c r="G53" i="165"/>
  <c r="G54" i="165"/>
  <c r="G57" i="165"/>
  <c r="G58" i="165"/>
  <c r="C19" i="177"/>
  <c r="C20" i="177"/>
  <c r="D24" i="177"/>
  <c r="E24" i="177"/>
  <c r="E25" i="177"/>
  <c r="D28" i="177"/>
  <c r="E28" i="177"/>
  <c r="E29" i="177"/>
  <c r="D31" i="177"/>
  <c r="E31" i="177"/>
  <c r="E32" i="177"/>
  <c r="D34" i="177"/>
  <c r="E34" i="177"/>
  <c r="E35" i="177"/>
  <c r="G40" i="177"/>
  <c r="H40" i="177"/>
  <c r="H41" i="177"/>
  <c r="D45" i="177"/>
  <c r="E45" i="177"/>
  <c r="E46" i="177"/>
  <c r="C50" i="177"/>
  <c r="E50" i="177"/>
  <c r="G50" i="177"/>
  <c r="C51" i="177"/>
  <c r="E51" i="177"/>
  <c r="G51" i="177"/>
  <c r="C52" i="177"/>
  <c r="E52" i="177"/>
  <c r="G52" i="177"/>
  <c r="C53" i="177"/>
  <c r="E53" i="177"/>
  <c r="G53" i="177"/>
  <c r="C54" i="177"/>
  <c r="E54" i="177"/>
  <c r="G54" i="177"/>
  <c r="C55" i="177"/>
  <c r="E55" i="177"/>
  <c r="G55" i="177"/>
  <c r="G56" i="177"/>
  <c r="G57" i="177"/>
  <c r="G60" i="177"/>
  <c r="G61" i="177"/>
  <c r="C22" i="187"/>
  <c r="C23" i="187"/>
  <c r="C24" i="187"/>
  <c r="C25" i="187"/>
  <c r="C26" i="187"/>
  <c r="D30" i="187"/>
  <c r="E30" i="187"/>
  <c r="D31" i="187"/>
  <c r="E31" i="187"/>
  <c r="E32" i="187"/>
  <c r="D35" i="187"/>
  <c r="E35" i="187"/>
  <c r="D36" i="187"/>
  <c r="E36" i="187"/>
  <c r="E37" i="187"/>
  <c r="D39" i="187"/>
  <c r="E39" i="187"/>
  <c r="D40" i="187"/>
  <c r="E40" i="187"/>
  <c r="E41" i="187"/>
  <c r="D43" i="187"/>
  <c r="E43" i="187"/>
  <c r="D44" i="187"/>
  <c r="E44" i="187"/>
  <c r="E45" i="187"/>
  <c r="G50" i="187"/>
  <c r="H50" i="187"/>
  <c r="G51" i="187"/>
  <c r="H51" i="187"/>
  <c r="H52" i="187"/>
  <c r="D56" i="187"/>
  <c r="E56" i="187"/>
  <c r="D57" i="187"/>
  <c r="E57" i="187"/>
  <c r="D58" i="187"/>
  <c r="E58" i="187"/>
  <c r="E59" i="187"/>
  <c r="C63" i="187"/>
  <c r="E63" i="187"/>
  <c r="G63" i="187"/>
  <c r="C64" i="187"/>
  <c r="E64" i="187"/>
  <c r="G64" i="187"/>
  <c r="C65" i="187"/>
  <c r="E65" i="187"/>
  <c r="G65" i="187"/>
  <c r="C66" i="187"/>
  <c r="E66" i="187"/>
  <c r="G66" i="187"/>
  <c r="C67" i="187"/>
  <c r="E67" i="187"/>
  <c r="G67" i="187"/>
  <c r="C68" i="187"/>
  <c r="E68" i="187"/>
  <c r="G68" i="187"/>
  <c r="G69" i="187"/>
  <c r="G70" i="187"/>
  <c r="G73" i="187"/>
  <c r="G74" i="187"/>
  <c r="G75" i="187"/>
  <c r="G76" i="187"/>
  <c r="I76" i="187"/>
  <c r="C25" i="201"/>
  <c r="C26" i="201"/>
  <c r="C27" i="201"/>
  <c r="C28" i="201"/>
  <c r="C29" i="201"/>
  <c r="C30" i="201"/>
  <c r="C31" i="201"/>
  <c r="C32" i="201"/>
  <c r="D36" i="201"/>
  <c r="E36" i="201"/>
  <c r="D37" i="201"/>
  <c r="E37" i="201"/>
  <c r="D38" i="201"/>
  <c r="E38" i="201"/>
  <c r="D39" i="201"/>
  <c r="E39" i="201"/>
  <c r="E40" i="201"/>
  <c r="D43" i="201"/>
  <c r="E43" i="201"/>
  <c r="D44" i="201"/>
  <c r="E44" i="201"/>
  <c r="D45" i="201"/>
  <c r="E45" i="201"/>
  <c r="D46" i="201"/>
  <c r="E46" i="201"/>
  <c r="D47" i="201"/>
  <c r="E47" i="201"/>
  <c r="E48" i="201"/>
  <c r="D50" i="201"/>
  <c r="E50" i="201"/>
  <c r="D51" i="201"/>
  <c r="E51" i="201"/>
  <c r="D52" i="201"/>
  <c r="E52" i="201"/>
  <c r="E53" i="201"/>
  <c r="D55" i="201"/>
  <c r="E55" i="201"/>
  <c r="D56" i="201"/>
  <c r="E56" i="201"/>
  <c r="E57" i="201"/>
  <c r="G62" i="201"/>
  <c r="H62" i="201"/>
  <c r="G63" i="201"/>
  <c r="H63" i="201"/>
  <c r="G64" i="201"/>
  <c r="H64" i="201"/>
  <c r="G65" i="201"/>
  <c r="H65" i="201"/>
  <c r="H66" i="201"/>
  <c r="D70" i="201"/>
  <c r="E70" i="201"/>
  <c r="D71" i="201"/>
  <c r="E71" i="201"/>
  <c r="D72" i="201"/>
  <c r="E72" i="201"/>
  <c r="E73" i="201"/>
  <c r="C77" i="201"/>
  <c r="E77" i="201"/>
  <c r="G77" i="201"/>
  <c r="C78" i="201"/>
  <c r="E78" i="201"/>
  <c r="G78" i="201"/>
  <c r="C79" i="201"/>
  <c r="E79" i="201"/>
  <c r="G79" i="201"/>
  <c r="C80" i="201"/>
  <c r="E80" i="201"/>
  <c r="G80" i="201"/>
  <c r="C81" i="201"/>
  <c r="E81" i="201"/>
  <c r="G81" i="201"/>
  <c r="C82" i="201"/>
  <c r="E82" i="201"/>
  <c r="G82" i="201"/>
  <c r="G83" i="201"/>
  <c r="G84" i="201"/>
  <c r="G87" i="201"/>
  <c r="G88" i="201"/>
  <c r="G89" i="201"/>
  <c r="G90" i="201"/>
  <c r="G122" i="202"/>
  <c r="G123" i="202"/>
  <c r="G124" i="202"/>
  <c r="G125" i="202"/>
  <c r="G126" i="202"/>
  <c r="G127" i="202"/>
  <c r="H127" i="202"/>
  <c r="G128" i="202"/>
  <c r="G136" i="202"/>
  <c r="G137" i="202"/>
  <c r="H137" i="202"/>
  <c r="G139" i="202"/>
  <c r="G140" i="202"/>
  <c r="G122" i="198"/>
  <c r="G123" i="198"/>
  <c r="G124" i="198"/>
  <c r="G125" i="198"/>
  <c r="G126" i="198"/>
  <c r="G127" i="198"/>
  <c r="H127" i="198"/>
  <c r="G128" i="198"/>
  <c r="G136" i="198"/>
  <c r="G137" i="198"/>
  <c r="H137" i="198"/>
  <c r="G139" i="198"/>
  <c r="G140" i="198"/>
</calcChain>
</file>

<file path=xl/comments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Henrique da Silva Sales Vaz Pinto</author>
    <author>Rogerio Rodrigues Pontes</author>
  </authors>
  <commentList>
    <comment ref="C24" authorId="0" shapeId="0">
      <text>
        <r>
          <rPr>
            <b/>
            <sz val="9"/>
            <color indexed="81"/>
            <rFont val="Segoe UI"/>
            <family val="2"/>
          </rPr>
          <t xml:space="preserve">Henrique Sales:
Pessoa: </t>
        </r>
        <r>
          <rPr>
            <sz val="9"/>
            <color indexed="81"/>
            <rFont val="Segoe UI"/>
            <family val="2"/>
          </rPr>
          <t xml:space="preserve">1 (uma)
</t>
        </r>
        <r>
          <rPr>
            <b/>
            <sz val="9"/>
            <color indexed="81"/>
            <rFont val="Segoe UI"/>
            <family val="2"/>
          </rPr>
          <t>Dias Trabalhados:</t>
        </r>
        <r>
          <rPr>
            <sz val="9"/>
            <color indexed="81"/>
            <rFont val="Segoe UI"/>
            <family val="2"/>
          </rPr>
          <t xml:space="preserve"> 23 (Escala 6x1 - 44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Fórmula: (1÷(dias mês*produtividades))</t>
        </r>
      </text>
    </comment>
    <comment ref="D37" authorId="1" shapeId="0">
      <text>
        <r>
          <rPr>
            <b/>
            <sz val="9"/>
            <color indexed="81"/>
            <rFont val="Segoe UI"/>
            <family val="2"/>
          </rPr>
          <t>Henrique Sales:</t>
        </r>
        <r>
          <rPr>
            <sz val="9"/>
            <color indexed="81"/>
            <rFont val="Segoe UI"/>
            <family val="2"/>
          </rPr>
          <t xml:space="preserve">
</t>
        </r>
        <r>
          <rPr>
            <b/>
            <sz val="9"/>
            <color indexed="81"/>
            <rFont val="Segoe UI"/>
            <family val="2"/>
          </rPr>
          <t>Metragem:</t>
        </r>
        <r>
          <rPr>
            <sz val="9"/>
            <color indexed="81"/>
            <rFont val="Segoe UI"/>
            <family val="2"/>
          </rPr>
          <t xml:space="preserve"> Total m² Fachadas
</t>
        </r>
        <r>
          <rPr>
            <b/>
            <sz val="9"/>
            <color indexed="81"/>
            <rFont val="Segoe UI"/>
            <family val="2"/>
          </rPr>
          <t>Frequência:</t>
        </r>
        <r>
          <rPr>
            <sz val="9"/>
            <color indexed="81"/>
            <rFont val="Segoe UI"/>
            <family val="2"/>
          </rPr>
          <t xml:space="preserve"> Mensal (1x por mês)
</t>
        </r>
        <r>
          <rPr>
            <b/>
            <sz val="9"/>
            <color indexed="81"/>
            <rFont val="Segoe UI"/>
            <family val="2"/>
          </rPr>
          <t>Produtividade:</t>
        </r>
        <r>
          <rPr>
            <sz val="9"/>
            <color indexed="81"/>
            <rFont val="Segoe UI"/>
            <family val="2"/>
          </rPr>
          <t xml:space="preserve"> 300m² (ou seja, se espera que 01 funcionário, seja capaz de limpar 300m² de área fisíca)
</t>
        </r>
        <r>
          <rPr>
            <b/>
            <sz val="9"/>
            <color indexed="81"/>
            <rFont val="Segoe UI"/>
            <family val="2"/>
          </rPr>
          <t>Jornada:</t>
        </r>
        <r>
          <rPr>
            <sz val="9"/>
            <color indexed="81"/>
            <rFont val="Segoe UI"/>
            <family val="2"/>
          </rPr>
          <t xml:space="preserve"> 8 horas diária (44hr semanais)
</t>
        </r>
        <r>
          <rPr>
            <b/>
            <sz val="9"/>
            <color indexed="81"/>
            <rFont val="Segoe UI"/>
            <family val="2"/>
          </rPr>
          <t>Fórmula:</t>
        </r>
        <r>
          <rPr>
            <sz val="9"/>
            <color indexed="81"/>
            <rFont val="Segoe UI"/>
            <family val="2"/>
          </rPr>
          <t xml:space="preserve"> (Metragem÷Produtividade) x Jornada = Frequência Mês em Horas (quantidade de horas que um funcionário leverá para limpar toda a área física)
</t>
        </r>
        <r>
          <rPr>
            <b/>
            <sz val="9"/>
            <color indexed="81"/>
            <rFont val="Segoe UI"/>
            <family val="2"/>
          </rPr>
          <t>Obs.: Arrendodar a formula (&lt; que 0,3 para baixo e &gt; que 0,3 para cima)
Obs2.: 0,3 equivale à 30 minutos</t>
        </r>
        <r>
          <rPr>
            <sz val="9"/>
            <color indexed="81"/>
            <rFont val="Segoe UI"/>
            <family val="2"/>
          </rPr>
          <t xml:space="preserve">
OU SEJA:
</t>
        </r>
        <r>
          <rPr>
            <b/>
            <sz val="9"/>
            <color indexed="81"/>
            <rFont val="Segoe UI"/>
            <family val="2"/>
          </rPr>
          <t>Fórmula: (Total m²÷300) x 8hs</t>
        </r>
      </text>
    </comment>
    <comment ref="E37"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Henrique da Silva Sales Vaz Pinto</author>
    <author>Rogerio Rodrigues Pontes</author>
  </authors>
  <commentList>
    <comment ref="C24" authorId="0" shapeId="0">
      <text>
        <r>
          <rPr>
            <b/>
            <sz val="9"/>
            <color indexed="81"/>
            <rFont val="Segoe UI"/>
            <family val="2"/>
          </rPr>
          <t>Henrique Sales:</t>
        </r>
        <r>
          <rPr>
            <sz val="9"/>
            <color indexed="81"/>
            <rFont val="Segoe UI"/>
            <family val="2"/>
          </rPr>
          <t xml:space="preserve">
</t>
        </r>
        <r>
          <rPr>
            <b/>
            <sz val="9"/>
            <color indexed="81"/>
            <rFont val="Segoe UI"/>
            <family val="2"/>
          </rPr>
          <t>Pessoa:</t>
        </r>
        <r>
          <rPr>
            <sz val="9"/>
            <color indexed="81"/>
            <rFont val="Segoe UI"/>
            <family val="2"/>
          </rPr>
          <t xml:space="preserve"> 1 (uma)
</t>
        </r>
        <r>
          <rPr>
            <b/>
            <sz val="9"/>
            <color indexed="81"/>
            <rFont val="Segoe UI"/>
            <family val="2"/>
          </rPr>
          <t>Dias Trabalhados:</t>
        </r>
        <r>
          <rPr>
            <sz val="9"/>
            <color indexed="81"/>
            <rFont val="Segoe UI"/>
            <family val="2"/>
          </rPr>
          <t xml:space="preserve"> 21 (Escala 5x2 - 44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 xml:space="preserve">
Fórmula: (1÷(21*800))</t>
        </r>
      </text>
    </comment>
    <comment ref="D40" authorId="1" shapeId="0">
      <text>
        <r>
          <rPr>
            <b/>
            <sz val="9"/>
            <color indexed="81"/>
            <rFont val="Segoe UI"/>
            <family val="2"/>
          </rPr>
          <t xml:space="preserve">Henrique da Silva Sales:
Metragem: </t>
        </r>
        <r>
          <rPr>
            <sz val="9"/>
            <color indexed="81"/>
            <rFont val="Segoe UI"/>
            <family val="2"/>
          </rPr>
          <t>165,42m²</t>
        </r>
        <r>
          <rPr>
            <b/>
            <sz val="9"/>
            <color indexed="81"/>
            <rFont val="Segoe UI"/>
            <family val="2"/>
          </rPr>
          <t xml:space="preserve">
Frequência: </t>
        </r>
        <r>
          <rPr>
            <sz val="9"/>
            <color indexed="81"/>
            <rFont val="Segoe UI"/>
            <family val="2"/>
          </rPr>
          <t>Mensal (1x por mês)</t>
        </r>
        <r>
          <rPr>
            <b/>
            <sz val="9"/>
            <color indexed="81"/>
            <rFont val="Segoe UI"/>
            <family val="2"/>
          </rPr>
          <t xml:space="preserve">
Produtividade: </t>
        </r>
        <r>
          <rPr>
            <sz val="9"/>
            <color indexed="81"/>
            <rFont val="Segoe UI"/>
            <family val="2"/>
          </rPr>
          <t>300m² (ou seja, se espera que 01 funcionário, seja capaz de limpar 300m² de área fisíca)</t>
        </r>
        <r>
          <rPr>
            <b/>
            <sz val="9"/>
            <color indexed="81"/>
            <rFont val="Segoe UI"/>
            <family val="2"/>
          </rPr>
          <t xml:space="preserve">
Jornada: </t>
        </r>
        <r>
          <rPr>
            <sz val="9"/>
            <color indexed="81"/>
            <rFont val="Segoe UI"/>
            <family val="2"/>
          </rPr>
          <t>8 horas diária (44hr semanais)</t>
        </r>
        <r>
          <rPr>
            <b/>
            <sz val="9"/>
            <color indexed="81"/>
            <rFont val="Segoe UI"/>
            <family val="2"/>
          </rPr>
          <t xml:space="preserve">
Fórmula:</t>
        </r>
        <r>
          <rPr>
            <sz val="9"/>
            <color indexed="81"/>
            <rFont val="Segoe UI"/>
            <family val="2"/>
          </rPr>
          <t xml:space="preserve"> (Metragem ÷ Produtividade) x Jornada = Frequência Mês em Horas (quantidade de horas que um funcionário leverá para limpar toda a área física)</t>
        </r>
        <r>
          <rPr>
            <b/>
            <sz val="9"/>
            <color indexed="81"/>
            <rFont val="Segoe UI"/>
            <family val="2"/>
          </rPr>
          <t xml:space="preserve">
Obs1.: Arrendodar a formula (&lt; que 0,3 para baixo e &gt; que 0,3 para cima)
Obs2.: 0,3 equivale à 30 minutos
</t>
        </r>
        <r>
          <rPr>
            <sz val="9"/>
            <color indexed="81"/>
            <rFont val="Segoe UI"/>
            <family val="2"/>
          </rPr>
          <t>OU SEJA:</t>
        </r>
        <r>
          <rPr>
            <b/>
            <sz val="9"/>
            <color indexed="81"/>
            <rFont val="Segoe UI"/>
            <family val="2"/>
          </rPr>
          <t xml:space="preserve">
Fórmula: (Total m²/300) x 8</t>
        </r>
      </text>
    </comment>
    <comment ref="E40"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7.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8.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6.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7.xml><?xml version="1.0" encoding="utf-8"?>
<comments xmlns="http://schemas.openxmlformats.org/spreadsheetml/2006/main">
  <authors>
    <author>Rogerio Rodrigues Pontes</author>
    <author>Rosiane de Oliveira</author>
  </authors>
  <commentList>
    <comment ref="F17" authorId="0" shapeId="0">
      <text>
        <r>
          <rPr>
            <b/>
            <sz val="9"/>
            <color rgb="FF000000"/>
            <rFont val="Segoe UI"/>
            <family val="2"/>
          </rPr>
          <t>5143-25 - Trabalhador da manutenção de edificações</t>
        </r>
        <r>
          <rPr>
            <sz val="9"/>
            <color rgb="FF000000"/>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rgb="FF000000"/>
            <rFont val="Segoe UI"/>
            <family val="2"/>
          </rPr>
          <t>Descrição Sumária</t>
        </r>
        <r>
          <rPr>
            <sz val="9"/>
            <color rgb="FF000000"/>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rgb="FF000000"/>
            <rFont val="Segoe UI"/>
            <family val="2"/>
          </rPr>
          <t>Rosiane de Oliveira:</t>
        </r>
        <r>
          <rPr>
            <sz val="9"/>
            <color rgb="FF000000"/>
            <rFont val="Segoe UI"/>
            <family val="2"/>
          </rPr>
          <t xml:space="preserve">
Considera-se que 90% dos empregados estarão sob aviso prévio indenizado e 10% sob aviso prévio trabalhado</t>
        </r>
      </text>
    </comment>
    <comment ref="B73" authorId="1" shapeId="0">
      <text>
        <r>
          <rPr>
            <b/>
            <sz val="9"/>
            <color rgb="FF000000"/>
            <rFont val="Segoe UI"/>
            <family val="2"/>
          </rPr>
          <t>Rosiane de Oliveira:</t>
        </r>
        <r>
          <rPr>
            <sz val="9"/>
            <color rgb="FF000000"/>
            <rFont val="Segoe UI"/>
            <family val="2"/>
          </rPr>
          <t xml:space="preserve">
Conta vinculada</t>
        </r>
      </text>
    </comment>
    <comment ref="B76" authorId="1" shapeId="0">
      <text>
        <r>
          <rPr>
            <b/>
            <sz val="9"/>
            <color rgb="FF000000"/>
            <rFont val="Segoe UI"/>
            <family val="2"/>
          </rPr>
          <t>Rosiane de Oliveira:</t>
        </r>
        <r>
          <rPr>
            <sz val="9"/>
            <color rgb="FF000000"/>
            <rFont val="Segoe UI"/>
            <family val="2"/>
          </rPr>
          <t xml:space="preserve">
Conta vincula, constante no 3.c
</t>
        </r>
      </text>
    </comment>
    <comment ref="F88" authorId="1" shapeId="0">
      <text>
        <r>
          <rPr>
            <b/>
            <sz val="9"/>
            <color rgb="FF000000"/>
            <rFont val="Segoe UI"/>
            <family val="2"/>
          </rPr>
          <t>Rosiane de Oliveira:</t>
        </r>
        <r>
          <rPr>
            <sz val="9"/>
            <color rgb="FF000000"/>
            <rFont val="Segoe UI"/>
            <family val="2"/>
          </rPr>
          <t xml:space="preserve">
Cálculo férias conta vinculada X 4 meses afastamento / 12 meses x porcentagem de ocorrência - Portaria e Vigilância 1%</t>
        </r>
      </text>
    </comment>
    <comment ref="F94" authorId="1" shapeId="0">
      <text>
        <r>
          <rPr>
            <b/>
            <sz val="9"/>
            <color rgb="FF000000"/>
            <rFont val="Segoe UI"/>
            <family val="2"/>
          </rPr>
          <t>Rosiane de Oliveira:</t>
        </r>
        <r>
          <rPr>
            <sz val="9"/>
            <color rgb="FF000000"/>
            <rFont val="Segoe UI"/>
            <family val="2"/>
          </rPr>
          <t xml:space="preserve">
Cálculo férias conta vinculada X 4 meses afastamento / 12 meses x porcentagem de ocorrência</t>
        </r>
      </text>
    </comment>
    <comment ref="F98" authorId="0" shapeId="0">
      <text>
        <r>
          <rPr>
            <b/>
            <sz val="9"/>
            <color rgb="FF000000"/>
            <rFont val="Segoe UI"/>
            <family val="2"/>
          </rPr>
          <t>Rogerio Rodrigues Pontes:</t>
        </r>
        <r>
          <rPr>
            <sz val="9"/>
            <color rgb="FF000000"/>
            <rFont val="Segoe UI"/>
            <family val="2"/>
          </rPr>
          <t xml:space="preserve">
Cálculo = nº de horas X  qtde. de feriados dias úteis ano 2020 (exceto finais de semana) ÷ nº de meses ÷ total de horas mês
Cálculo = (((8 * 11)/12)/220)*100</t>
        </r>
      </text>
    </comment>
  </commentList>
</comments>
</file>

<file path=xl/comments18.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9.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<sst xmlns="http://schemas.openxmlformats.org/spreadsheetml/2006/main" count="4487" uniqueCount="514">
  <si>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</si>
  <si>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</si>
  <si>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</si>
  <si>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</si>
  <si>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</si>
  <si>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</si>
  <si>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</si>
  <si>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</si>
  <si>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</si>
  <si>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</si>
  <si>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</si>
  <si>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</si>
  <si>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</si>
  <si>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</si>
  <si>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</si>
  <si>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</si>
  <si>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</si>
  <si>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</si>
  <si>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</si>
  <si>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</si>
  <si>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</si>
  <si>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</si>
  <si>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</si>
  <si>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</si>
  <si>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</si>
  <si>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</si>
  <si>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</si>
  <si>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</si>
  <si>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</si>
  <si>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</si>
  <si>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</si>
  <si>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</si>
  <si>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</si>
  <si>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</si>
  <si>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</si>
  <si>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</si>
  <si>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</si>
  <si>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</si>
  <si>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</si>
  <si>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</si>
  <si>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</si>
  <si>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</si>
  <si>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</si>
  <si>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</si>
  <si>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</si>
  <si>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</si>
  <si>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</si>
  <si>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</si>
  <si>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</si>
  <si>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</si>
  <si>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</si>
  <si>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</si>
  <si>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</si>
  <si>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</si>
  <si>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</si>
  <si>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</si>
  <si>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</si>
  <si>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</si>
  <si>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</si>
  <si>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</si>
  <si>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</si>
  <si>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</si>
  <si>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</si>
  <si>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</si>
  <si>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</si>
  <si>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</si>
  <si>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</si>
  <si>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</si>
  <si>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</si>
  <si>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</si>
  <si>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</si>
  <si>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</si>
  <si>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</si>
  <si>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</si>
  <si>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</si>
  <si>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</si>
  <si>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</si>
  <si>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</si>
  <si>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</si>
  <si>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</si>
  <si>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</si>
  <si>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</si>
  <si>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</si>
  <si>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</si>
  <si>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</si>
  <si>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</si>
  <si>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</si>
  <si>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</si>
  <si>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</si>
  <si>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</si>
  <si>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</si>
  <si>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</si>
  <si>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</si>
  <si>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</si>
  <si>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</si>
  <si>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</si>
  <si>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</si>
  <si>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</si>
  <si>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</si>
  <si>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</si>
  <si>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</si>
  <si>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</si>
  <si>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</si>
  <si>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</si>
  <si>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</si>
  <si>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</si>
  <si>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</si>
  <si>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</si>
  <si>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</si>
  <si>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</si>
  <si>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</si>
  <si>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</si>
  <si>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</si>
  <si>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</si>
  <si>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</si>
  <si>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</si>
  <si>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</si>
  <si>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</si>
  <si>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</si>
  <si>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</si>
  <si>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</si>
  <si>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</si>
  <si>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</si>
  <si>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</si>
  <si>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</si>
  <si>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</si>
  <si>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</si>
  <si>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</si>
  <si>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</si>
  <si>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</si>
  <si>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</si>
  <si>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</si>
  <si>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</si>
  <si>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</si>
  <si>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</si>
  <si>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</si>
  <si>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</si>
  <si>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</si>
  <si>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</si>
  <si>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</si>
  <si>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</si>
  <si>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</si>
  <si>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</si>
  <si>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</si>
  <si>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</si>
  <si>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</si>
  <si>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Sindicato: SEAC/SP SINDICATO DAS EMPRESAS DE ASSEIO E CONSERVAÇÃO NO ESTADO DE SAO PAULO e SIEMACO-SP - SINDICATO TRABALHADORES EMPRESAS PRESTACAO DE SERVICOS DE ASSEIO E CONSERVACAO E LIMPEZA URBANA DE SP</t>
  </si>
  <si>
    <t>LIMPEZA</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</si>
  <si>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</si>
  <si>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</si>
  <si>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</si>
  <si>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</si>
  <si>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</si>
  <si>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</si>
  <si>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</si>
  <si>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</si>
  <si>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</si>
  <si>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</si>
  <si>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</si>
  <si>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</si>
  <si>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</si>
  <si>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</si>
  <si>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</si>
  <si>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</si>
  <si>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</si>
  <si>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</si>
  <si>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</si>
  <si>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</si>
  <si>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</si>
  <si>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</si>
  <si>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</si>
  <si>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</si>
  <si>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</si>
  <si>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</si>
  <si>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</si>
  <si>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</si>
  <si>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</si>
  <si>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</si>
  <si>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</si>
  <si>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</si>
  <si>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</si>
  <si>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</si>
  <si>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</si>
  <si>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</si>
  <si>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</si>
  <si>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</si>
  <si>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</si>
  <si>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</si>
  <si>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</si>
  <si>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</si>
  <si>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</si>
  <si>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</si>
  <si>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</si>
  <si>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</si>
  <si>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</si>
  <si>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</si>
  <si>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</si>
  <si>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</si>
  <si>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</si>
  <si>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</si>
  <si>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</si>
  <si>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</si>
  <si>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</si>
  <si>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</si>
  <si>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</si>
  <si>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</si>
  <si>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</si>
  <si>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</si>
  <si>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</si>
  <si>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</si>
  <si>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</si>
  <si>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</si>
  <si>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</si>
  <si>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</si>
  <si>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</si>
  <si>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</si>
  <si>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</si>
  <si>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</si>
  <si>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</si>
  <si>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</si>
  <si>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</si>
  <si>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</si>
  <si>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</si>
  <si>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</si>
  <si>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</si>
  <si>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</si>
  <si>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UTENSÍLIOS (Uso Geral)</t>
  </si>
  <si>
    <t>MÁQUINAS E EQUIPAMENTOS (Uso Geral)</t>
  </si>
  <si>
    <t>DEPRECIAÇÃO ANUAL %</t>
  </si>
  <si>
    <t>TOTAL  MENSAL</t>
  </si>
  <si>
    <t>EPI's</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</si>
  <si>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</si>
  <si>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</si>
  <si>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</si>
  <si>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</si>
  <si>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</si>
  <si>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</si>
  <si>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</si>
  <si>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</si>
  <si>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</si>
  <si>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</si>
  <si>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</si>
  <si>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</si>
  <si>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</si>
  <si>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</si>
  <si>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</si>
  <si>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</si>
  <si>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</si>
  <si>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</si>
  <si>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</si>
  <si>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</si>
  <si>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</si>
  <si>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</si>
  <si>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r>
      <t>(1)</t>
    </r>
    <r>
      <rPr>
        <sz val="11"/>
        <rFont val="Arial Narrow"/>
        <family val="2"/>
      </rPr>
      <t xml:space="preserve"> Produtividades auferidas de acordo com o Termo de Referência e informações enviadas pela área gestora.</t>
    </r>
  </si>
  <si>
    <t>Prêmio Assiduidade</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</si>
  <si>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</si>
  <si>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</si>
  <si>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</si>
  <si>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</si>
  <si>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</si>
  <si>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</si>
  <si>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</si>
  <si>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</si>
  <si>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</si>
  <si>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Vassoura Multiuso com Cabo - Cerdas de Fibra</t>
  </si>
  <si>
    <t>Vassoura de Palha Caipira</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</si>
  <si>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</si>
  <si>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</si>
  <si>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</si>
  <si>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</si>
  <si>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</si>
  <si>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</si>
  <si>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</si>
  <si>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</si>
  <si>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</si>
  <si>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</si>
  <si>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</si>
  <si>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Enxada com Cabo Longo</t>
  </si>
  <si>
    <t>Cavadeira Articulada com Cabo Longo</t>
  </si>
  <si>
    <t>Vanga com ponta e Cabo Longo</t>
  </si>
  <si>
    <t>Garfo de 4 dentes com Cabo Longo</t>
  </si>
  <si>
    <t>Rastelo Metálico de 18 dentes com Cabo Longo</t>
  </si>
  <si>
    <t xml:space="preserve">Materiais e utensiílios para manutenção de jardins </t>
  </si>
  <si>
    <t>Tesoura de poda e grama cerca viva tipo tramontina</t>
  </si>
  <si>
    <t>Serrote para madeira de 40 cm</t>
  </si>
  <si>
    <t>Extensão elétrica cabo PP 10/20A – 30m</t>
  </si>
  <si>
    <t>Mangueira doméstica de 50 m</t>
  </si>
  <si>
    <t>Podador a Altura a gasolina 2 Tempos 52 CC</t>
  </si>
  <si>
    <t>Roçadeira costal movida a gasolina (profissional)</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</si>
  <si>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</si>
  <si>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</si>
  <si>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</si>
  <si>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</si>
  <si>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</si>
  <si>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</si>
  <si>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</si>
  <si>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</si>
  <si>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</si>
  <si>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Caneleira/perneira de proteção para roçadeira (par)</t>
  </si>
  <si>
    <t>Capa Longa Impermeável com Capuz (amarela)</t>
  </si>
  <si>
    <t>Luvas de Borracha para limpeza com Cano Longo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</si>
  <si>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</si>
  <si>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</si>
  <si>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</si>
  <si>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</si>
  <si>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</si>
  <si>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</si>
  <si>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</si>
  <si>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</si>
  <si>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</si>
  <si>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</si>
  <si>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</si>
  <si>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</si>
  <si>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</si>
  <si>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MATERIAIS E UTENSÍLIOS - Limpeza e Conservação</t>
  </si>
  <si>
    <t>Protetor para roçagem (flexível) 5,0m x 1,5m altura – fixação no solo</t>
  </si>
  <si>
    <t>TOTAL MENSAL</t>
  </si>
  <si>
    <r>
      <t>(3)</t>
    </r>
    <r>
      <rPr>
        <sz val="11"/>
        <rFont val="Arial Narrow"/>
        <family val="2"/>
      </rPr>
      <t xml:space="preserve"> Freqüência  em horas por mês, no caso da área de vidros - fachada externa.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</si>
  <si>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</si>
  <si>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Cone de sinalização com 75 cm de altura, 2 faixas refletivas e orifício na parte supeior</t>
  </si>
  <si>
    <t>Conjunto MOP úmido profissional (ou similar)</t>
  </si>
  <si>
    <t>Refil do Conjunto MOP úmido profissional (ou similar)</t>
  </si>
  <si>
    <t>Espanador</t>
  </si>
  <si>
    <t>Espátula</t>
  </si>
  <si>
    <t>Extensão elétrica 20m</t>
  </si>
  <si>
    <t xml:space="preserve">Mangueira 30m </t>
  </si>
  <si>
    <t>Raspador</t>
  </si>
  <si>
    <t>Rodo de 30 cm com Cabo Longo</t>
  </si>
  <si>
    <t>Rodo de 60 cm com Cabo Longo</t>
  </si>
  <si>
    <t>Saco plástico para lixo 20L - (kg)</t>
  </si>
  <si>
    <t>Saco plástico para lixo 40L - (kg)</t>
  </si>
  <si>
    <t>Saco plástico para lixo 60L - (kg)</t>
  </si>
  <si>
    <t>Saco plástico para lixo 100L - (kg)</t>
  </si>
  <si>
    <t>Saco plástico para lixo 200L - (kg)</t>
  </si>
  <si>
    <t>Vassoura Multiuso com Cabo – Cerdas Rígidas (60 cm)</t>
  </si>
  <si>
    <t>Vassourão tipo Gari (30 cm)</t>
  </si>
  <si>
    <t>Vassourão tipo Gari (60 cm)</t>
  </si>
  <si>
    <t>Vassoura de metal de jardinagem Cabo Longo</t>
  </si>
  <si>
    <t>Rastelo Plástico de 22 dentes com Cabo Longo</t>
  </si>
  <si>
    <t>Papel higiênico institucional, rolos de 600m x 10cm – 100% celulose virgem, pacote com 08 rolos</t>
  </si>
  <si>
    <t>Papel higiênico branco, picotado 1º qualidade – 100% celulose virgem, alta absorção, extra macio, folhas duplas, rolos com 30 metros x 10cm, fardo com 64 rolos</t>
  </si>
  <si>
    <t>Papel higiênico branco, picotado 1º qualidade – 100% celulose virgem, alta absorção, extra macio, folhas duplas, rolos com 30 metros x 10cm, fardo com 32 rolos</t>
  </si>
  <si>
    <t>Papel toalha branco intercalado 20 x 21cm, 02 dobras, fardo c/1000 fls.</t>
  </si>
  <si>
    <t>Sabonete líquido neutro biodegradável - galão com 5 litros</t>
  </si>
  <si>
    <t>Suporte para papel higiênico de 30m x 10cm</t>
  </si>
  <si>
    <t>Suporte para papel higiênico de 600m x 10cm</t>
  </si>
  <si>
    <t>Suporte para papel toalha de 20cm x 200m</t>
  </si>
  <si>
    <t>Saboneteira tipo dispenser</t>
  </si>
  <si>
    <t>Álcool etílico diluído 70º (litro)</t>
  </si>
  <si>
    <t>Sabonete 85g</t>
  </si>
  <si>
    <t>Cera líquida - frasco c/750ml</t>
  </si>
  <si>
    <t>Tambor de ferro - 200 litros</t>
  </si>
  <si>
    <t>Tambor de plástico - 200 litros</t>
  </si>
  <si>
    <t>Periodicidade / Meses</t>
  </si>
  <si>
    <t>Enxadão com Cabo Longo</t>
  </si>
  <si>
    <t>Escova de aço</t>
  </si>
  <si>
    <t>Carrinho de mão pneu maciço (50 litros)</t>
  </si>
  <si>
    <t>Girica com duas rodas e pneu automotivo 165 x 60 x 13</t>
  </si>
  <si>
    <t>Carrinho de mão tipo baleia com caçamba de polietileno e pneu maciço (200 litros)</t>
  </si>
  <si>
    <t>Foice</t>
  </si>
  <si>
    <t>Rastelo Plástico de 30 dentes com Cabo Longo</t>
  </si>
  <si>
    <t>Regador 14 litros</t>
  </si>
  <si>
    <t>Serrote de poda de 14 polegadas</t>
  </si>
  <si>
    <t>Vassoura de Metal de Jardinagem com Cabo Longo</t>
  </si>
  <si>
    <t>Cone de sinalização - polietileno, base quadrada com 110x60x60 e faixas refletivas</t>
  </si>
  <si>
    <t>Escada doméstica 5 degraus</t>
  </si>
  <si>
    <t>Escada grande externa</t>
  </si>
  <si>
    <t>Máquina de Pressão VAP ou similar (Profissional)</t>
  </si>
  <si>
    <t>Aspirador de pó para sólido e líquido</t>
  </si>
  <si>
    <t>Carrinho plataforma fechado em tela para carga, com 4 rodas maciças (1,5m x 0,80m) 100 litros</t>
  </si>
  <si>
    <t>Carrinho de carga duas rodas tipo tubular para 200 kg</t>
  </si>
  <si>
    <t>Carrinho de mão tipo carriola reforçada com pneu e câmara de ar (65 litros)</t>
  </si>
  <si>
    <t>Carrinho tipo Lutocar plástico (polietileno) 100 litros</t>
  </si>
  <si>
    <t>Carrinho tipo Lutocar plástico (polietileno) 240 litros</t>
  </si>
  <si>
    <t>Girica duas rodas pneu automotivo 165x60x13</t>
  </si>
  <si>
    <t>Girica uma roda pneu automotivo 165x60x13</t>
  </si>
  <si>
    <t>Soprador de folhas à gasolina 41,5 cc</t>
  </si>
  <si>
    <t>Soprador de folha à gasolina 56,5 cc</t>
  </si>
  <si>
    <t>Rádio Comunicador (HT)</t>
  </si>
  <si>
    <t>Chapéu de aba larga</t>
  </si>
  <si>
    <t>Crachá de Identificação</t>
  </si>
  <si>
    <t>UNIFORMES</t>
  </si>
  <si>
    <t>Colete de Proteção Refletivo</t>
  </si>
  <si>
    <t>Luvas de Vaqueta com Cano Curto (par)</t>
  </si>
  <si>
    <t>Botas de borracha cano longo (par)</t>
  </si>
  <si>
    <t>Avental de raspa</t>
  </si>
  <si>
    <t>Capacete de segurança com protetor facial</t>
  </si>
  <si>
    <t>Máscara (respirador) com carvão ativado</t>
  </si>
  <si>
    <t>Protetor auricular</t>
  </si>
  <si>
    <t>Rodo Limpa Vidro com cabo extensor de até 4,5m</t>
  </si>
  <si>
    <t>Valor</t>
  </si>
  <si>
    <t>MATERIAIS E UTENSÍLIOS - Jardinagem</t>
  </si>
  <si>
    <t>OBJETO: PRESTAÇÃO DE SERVIÇOS DE LIMPEZA, CONSERVAÇÃO E HIGIENIZAÇÃO EM DIVERSOS ENTREPOSTO DO INTERIOR</t>
  </si>
  <si>
    <t>Sindicato: SELUR - SINDICATO DAS EMPRESAS DE LIMPEZA URBANA NO EST S PAULO E SIEMACO-SP -SINDICATO TRABALHADORES EMPRESAS PRESTACAO DE SERVICOS DE ASSEIO E CONSERVACAO E LIMPEZA URBANA DE SP</t>
  </si>
  <si>
    <t>Limpeza e Conservação</t>
  </si>
  <si>
    <t>Ajudante de Serviços Diversos</t>
  </si>
  <si>
    <t>5143-25</t>
  </si>
  <si>
    <t xml:space="preserve">Salário </t>
  </si>
  <si>
    <t xml:space="preserve">Ferias e terço  constitucional </t>
  </si>
  <si>
    <t>Assistencia Médica e Odontólogica</t>
  </si>
  <si>
    <t>Dia do Trabalhador</t>
  </si>
  <si>
    <t>Multa do FGTS sobre o Aviso Prévio Indenizado</t>
  </si>
  <si>
    <t xml:space="preserve">Intrajornada Cobertura de Feriados, Dias Ponte, e outros </t>
  </si>
  <si>
    <t>2024 / 2025</t>
  </si>
  <si>
    <t>Benefícios Sociais</t>
  </si>
  <si>
    <r>
      <t xml:space="preserve">Substituto na cobertura de Férias </t>
    </r>
    <r>
      <rPr>
        <sz val="10"/>
        <rFont val="Arial Narrow"/>
        <family val="2"/>
      </rPr>
      <t>(Somente se não aportado no submódulo 2.1)</t>
    </r>
  </si>
  <si>
    <r>
      <t xml:space="preserve">Substituto na cobertura de Afastamento Maternidade </t>
    </r>
    <r>
      <rPr>
        <sz val="10"/>
        <rFont val="Arial Narrow"/>
        <family val="2"/>
      </rPr>
      <t>(aportar no 4.1.1)</t>
    </r>
  </si>
  <si>
    <t>VALOR PELO PERÍODO DE 12 MESES DO TOTAL DE POSTOS DE SERVIÇO</t>
  </si>
  <si>
    <t>SANITÁRIOS (Diuturno)</t>
  </si>
  <si>
    <t>sanitários (diuturno)</t>
  </si>
  <si>
    <t>áreas envidraçadas</t>
  </si>
  <si>
    <t>ÁREAS ENVIDRAÇADAS</t>
  </si>
  <si>
    <r>
      <rPr>
        <b/>
        <sz val="11"/>
        <rFont val="Arial Narrow"/>
        <family val="2"/>
      </rPr>
      <t xml:space="preserve">(2) </t>
    </r>
    <r>
      <rPr>
        <sz val="11"/>
        <rFont val="Arial Narrow"/>
        <family val="2"/>
      </rPr>
      <t>O preço do homem-mês está acrescido da provisão dos insumos diversos.</t>
    </r>
  </si>
  <si>
    <t>Limite Máximo Contratação por Tipo de Área mensal (R$)</t>
  </si>
  <si>
    <t>Tratorista</t>
  </si>
  <si>
    <t>6410-15</t>
  </si>
  <si>
    <t>4101-05</t>
  </si>
  <si>
    <t>J</t>
  </si>
  <si>
    <t>TOTAL (M²)</t>
  </si>
  <si>
    <r>
      <t>OBJETO</t>
    </r>
    <r>
      <rPr>
        <sz val="11"/>
        <rFont val="Arial Narrow"/>
        <family val="2"/>
      </rPr>
      <t xml:space="preserve">: </t>
    </r>
    <r>
      <rPr>
        <b/>
        <sz val="11"/>
        <rFont val="Arial Narrow"/>
        <family val="2"/>
      </rPr>
      <t xml:space="preserve">   PRESTAÇÃO DE SERVIÇOS DE LIMPEZA E CONSERVAÇÃO NOS ENTREPOSTOS DO INTERIOR</t>
    </r>
  </si>
  <si>
    <t>áreas envidraçadas c/ expos.risco</t>
  </si>
  <si>
    <t>Limite Máximo Contratação mensal (R$)</t>
  </si>
  <si>
    <t>sanitários - Diuturno</t>
  </si>
  <si>
    <t>sanitários diuturno</t>
  </si>
  <si>
    <t>Quantidade mínima de pessoas conforme Termo de Referência</t>
  </si>
  <si>
    <t>PROCESSO Nº 125/2025</t>
  </si>
  <si>
    <t>Valor Unitário</t>
  </si>
  <si>
    <t>OBJETO: PRESTAÇÃO DE SERVIÇOS DE LIMPEZA, CONSERVAÇÃO E APOIO OPERACIONAL PARA ENTREPOSTOS DO INTERIOR</t>
  </si>
  <si>
    <t>TOTAL MENSAL POR POSTO</t>
  </si>
  <si>
    <t>Limite Máximo Contratação Mensal (R$)</t>
  </si>
  <si>
    <t>Insumos Diversos Mensal (R$)</t>
  </si>
  <si>
    <t>Ajudante de Serviços Diversos - Mensal (R$)</t>
  </si>
  <si>
    <t>Limite Máximo Contratação - Período de 12 Meses (R$)</t>
  </si>
  <si>
    <t>Ajudante de Serviços Diversos - Período de 12 Meses (R$)</t>
  </si>
  <si>
    <t>TOTAL MENSAL MÃO DE OBRA + AJUDANTE DE SERVIVOS DIVERSOS + INSUMOS DIVERSOS</t>
  </si>
  <si>
    <t>TOTAL POR 12 MESES DA MÃO DE OBRA + AJUDANTE DE SERVIÇOS DIVERSOS + INSUMOS DIVERSOS</t>
  </si>
  <si>
    <t>TOTAL MENSAL DOS INSUMOS DIVERSOS</t>
  </si>
  <si>
    <t>Insumos Diversos - Período de 12 Meses (R$)</t>
  </si>
  <si>
    <t>Limite por tipo de 
Área(R$) / Mês</t>
  </si>
  <si>
    <t>Limite por tipo de Área (R$)                12 Meses</t>
  </si>
  <si>
    <t>Limite Máximo Contratação por Tipo de Área -  Período de 12 Meses (R$)</t>
  </si>
  <si>
    <t>Quant. Mínimo conforme Termo de Referência</t>
  </si>
  <si>
    <t>Produtividade/ M²</t>
  </si>
  <si>
    <t>Subtotal (R$/M²)
( I ) x ( II )</t>
  </si>
  <si>
    <t>Produtividade ( I )
(1/M²) (1)</t>
  </si>
  <si>
    <t>Subtotal(R$/M²)
( IV )x( V )</t>
  </si>
  <si>
    <t>Área (M²) / Mês</t>
  </si>
  <si>
    <t xml:space="preserve">Preço por M² Mensal (R$/M²) </t>
  </si>
  <si>
    <t>Área (M²) /                12 Meses</t>
  </si>
  <si>
    <t>Quantidade mínimo de pessoas conforme Termo de Referência</t>
  </si>
  <si>
    <t>Limite Máximo Contratação por Tipo de Área - Período de 12 Meses (R$)</t>
  </si>
  <si>
    <t>CEARB</t>
  </si>
  <si>
    <t>CEMAR</t>
  </si>
  <si>
    <t>CEPRE</t>
  </si>
  <si>
    <t>CESJR</t>
  </si>
  <si>
    <t xml:space="preserve">Facão de corte - 18 polegadas </t>
  </si>
  <si>
    <t>Lavadora e secadora de piso elétrica, tensão 127V/220V, nova, do ano e modelo ofertados, em conformidade com a proposta comercial apresentada, equipada com tanque com capacidade mínima de 50 (cinquenta) litros, bateria com autonomia mínima de 5 (cinco) horas, escova acessória e desempenho operacional igual ou superior a 7.000 m²/h (sete mil metros quadrados por hora).</t>
  </si>
  <si>
    <t>Trator com potência mínima de 80hp, com até 10 anos de uso, em conformidade com a proposta comercial, ano e modelo ofertado, em bom estado de conservação, com os seguintes implementos novos: carreta de 2 rodas com capacidade mínima de 3 (três) toneladas e roçadeira, com concha frontal (sem lâmina)</t>
  </si>
  <si>
    <t>Trator com potência mínima de 80hp, com até 10 anos de uso, em conformidade com a proposta comercial, ano e modelo ofertado, em bom estado de conservação, com os seguintes implementos novos: carreta, roçadeira e carreta tanque agrícola (pipa), capacidade mínima de 5.000 (cinco mil) litros, para água, com bomba abastecedora, com bomba/mangueira de 6 (seis) metros e esguicho regulável, canhão monitor 360º (trezentos e sessenta graus), bico regulável, com plataforma para operador</t>
  </si>
  <si>
    <t>Mini carregadeira com potência mínima de 60hp, com até 5 (cinco) anos de uso, em conformidade com a proposta comercial, ano e modelo ofertado, em bom estado de conservação, com os seguintes implementos novos: caçamba dumper com capacidade mínima de 1.500 (mil e quinhentos) kg, vassoura recolhedora e concha frontal (sem lâmina)</t>
  </si>
  <si>
    <t>MÁQUINAS E EQUIPAMENTOS (Limpeza e Conservação)</t>
  </si>
  <si>
    <t>MÁQUINAS E EQUIPAMENTOS (Jardinagem)</t>
  </si>
  <si>
    <t>C.5</t>
  </si>
  <si>
    <t>2025/2026</t>
  </si>
  <si>
    <t>Ano do acordo, convenção ou dissídio coletivo:</t>
  </si>
  <si>
    <t>2025 / 2026</t>
  </si>
  <si>
    <t>Posto de trabalho: 2ª à 6ª início às 07:00 (com intervalo para refeição)</t>
  </si>
  <si>
    <t>DIUTURNO</t>
  </si>
  <si>
    <t>Agente de Higienização - Líder</t>
  </si>
  <si>
    <t>CONSIDERAR LIMPEZA EXTERNA SEMANALMENTE</t>
  </si>
  <si>
    <t>Posto de trabalho: 2ª a 6ª feira - início as 07h00 (com intervalo para refeição)</t>
  </si>
  <si>
    <t>Encarregado de Limpeza</t>
  </si>
  <si>
    <t xml:space="preserve">Agente de Higienização (Diuturno) </t>
  </si>
  <si>
    <t>TOTAL GERAL - LOTE 02</t>
  </si>
  <si>
    <t>PROCESSO Nº 125/2025 - LOTE 03</t>
  </si>
  <si>
    <t>Posto de Trabalho: 2ª a 6ª início às 07hs - (com intervalo para refeição)</t>
  </si>
  <si>
    <t>Posto de Trabalho: 2ª a 6ª início às 06:00hs - (com intervalo para refeição)</t>
  </si>
  <si>
    <t>LOTE 03</t>
  </si>
  <si>
    <t>ARAÇATUBA/SP</t>
  </si>
  <si>
    <t>Posto de trabalho: 2ª à 6ª início às 06:00hs e às 07:00hs (com intervalo para refeição)</t>
  </si>
  <si>
    <t>MARILIA/SP</t>
  </si>
  <si>
    <t>ENTREPOSTO DE ARAÇATUBA/SP</t>
  </si>
  <si>
    <t>ENTREPOSTO DE MARILIA/SP</t>
  </si>
  <si>
    <t>ENTREPOSTO DE PRESIDENTE PRUDENTE/SP</t>
  </si>
  <si>
    <t>ENTREPOSTO DE SÃO JOSÉ DO RIO PRETO/SP</t>
  </si>
  <si>
    <t>PRESIDENTE PRUDENTE/SP</t>
  </si>
  <si>
    <t>SÃO JOSÉ DO RIO PRETO/SP</t>
  </si>
  <si>
    <t>Posto de trabalho: 2ª a 6ª feira - início as 08h00 e Sábado – 4 h - início as 08h00 (com intervalo para refeição)</t>
  </si>
  <si>
    <t>Presidente Prudente/SP</t>
  </si>
  <si>
    <t>Posto de trabalho: 2ª, 4ª e 6ª feira início as 03h00, 3ª e 5ª início as 07h00 e Sábado (4h) - início as 07h00 (com intervalo para refeição)</t>
  </si>
  <si>
    <t>Posto de trabalho: 2ª a 6ª feira início às 7h00 - com intervalo para refeição</t>
  </si>
  <si>
    <t>Posto de trabalho: 2ª a 6ª feira início as 07h48 e Sábado (4h) inicio as 07h00 - com intervalo para refeição</t>
  </si>
  <si>
    <t>Buerista</t>
  </si>
  <si>
    <t>9922-25</t>
  </si>
  <si>
    <t>Posto de trabalho: De 2ª à 6ª início às 08:00 - (com intervalo para refeição)</t>
  </si>
  <si>
    <t>Posto de trabalho: De 2ª à 6ª início às 07:00 - (com intervalo para refeição)</t>
  </si>
  <si>
    <t>São José do Rio Preto/SP</t>
  </si>
  <si>
    <t>Agente de Higienização (6X1)</t>
  </si>
  <si>
    <t>Agente de Higienização (5X2)</t>
  </si>
  <si>
    <t>TOTAL GERAL ANUAL - LOTE 03</t>
  </si>
  <si>
    <t>TOTAL AGENTE DE HIGIENIZAÇÃO - LOTE 03</t>
  </si>
  <si>
    <t>TOTAL TRATORISTA - LOTE 03</t>
  </si>
  <si>
    <t>TOTAL AJUDANTE DE TRATORISTA - LOTE 03</t>
  </si>
  <si>
    <t>TOTAL AJUDANTE DE SERVIÇOS DIVERSOS - LOTE 03</t>
  </si>
  <si>
    <t>TOTAL AGENTE DE HIGIENIZAÇÃO LÍDER - LOTE 03</t>
  </si>
  <si>
    <t>TOTAL ENCARREGADO - LOTE 03</t>
  </si>
  <si>
    <t>TOTAL BUERISTA - LOTE 03</t>
  </si>
  <si>
    <t>TOTAL JARDINEIRO - LOTE 03</t>
  </si>
  <si>
    <t>Posto de Ajudante de Serviços Diversos - Período de 12 Meses (R$)</t>
  </si>
  <si>
    <t>Posto de Ajudante de Serviços Diversos - Mensal (R$)</t>
  </si>
  <si>
    <t>PROCESSO Nº 125/2025 (LOTE 03)</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</si>
  <si>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</si>
  <si>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QUADRO RESUMO GERAL - PROPOSTA LICITANTE</t>
  </si>
  <si>
    <t>QUADRO RESUMO LICITANTE - CÁLCULO VALOR M²</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</si>
</sst>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0000"/>
  </numFmts>
  <fonts count="59"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
      <u/>
      <sz val="11"/>
      <name val="Arial Narrow"/>
      <family val="2"/>
    </font>
    <font>
      <strike/>
      <sz val="11"/>
      <name val="Arial Narrow"/>
      <family val="2"/>
    </font>
    <font>
      <b/>
      <strike/>
      <sz val="11"/>
      <name val="Arial Narrow"/>
      <family val="2"/>
    </font>
    <font>
      <strike/>
      <sz val="10"/>
      <name val="Calibri Light"/>
      <family val="2"/>
    </font>
    <font>
      <b/>
      <sz val="10"/>
      <color rgb="FF000000"/>
      <name val="Arial Narrow"/>
      <family val="2"/>
    </font>
    <font>
      <b/>
      <sz val="10"/>
      <color rgb="FFE7E6E6"/>
      <name val="Arial Narrow"/>
      <family val="2"/>
    </font>
    <font>
      <sz val="10"/>
      <color rgb="FFF2F2F2"/>
      <name val="Arial Narrow"/>
      <family val="2"/>
    </font>
    <font>
      <b/>
      <sz val="9"/>
      <color rgb="FF000000"/>
      <name val="Segoe UI"/>
      <family val="2"/>
    </font>
    <font>
      <sz val="9"/>
      <color rgb="FF000000"/>
      <name val="Segoe UI"/>
      <family val="2"/>
    </font>
    <font>
      <b/>
      <u/>
      <sz val="12"/>
      <color theme="9"/>
      <name val="Arial"/>
      <family val="2"/>
    </font>
    <font>
      <u/>
      <sz val="12"/>
      <name val="Arial"/>
      <family val="2"/>
    </font>
  </fonts>
  <fills count="79">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FFFF00"/>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rgb="FFB4C6E7"/>
        <bgColor indexed="64"/>
      </patternFill>
    </fill>
    <fill>
      <patternFill patternType="solid">
        <fgColor rgb="FF8EA9DB"/>
        <bgColor indexed="64"/>
      </patternFill>
    </fill>
    <fill>
      <patternFill patternType="solid">
        <fgColor rgb="FFA9D08E"/>
        <bgColor indexed="64"/>
      </patternFill>
    </fill>
    <fill>
      <patternFill patternType="solid">
        <fgColor rgb="FFC9FFFF"/>
        <bgColor indexed="41"/>
      </patternFill>
    </fill>
    <fill>
      <patternFill patternType="solid">
        <fgColor rgb="FF8EA9DB"/>
        <bgColor indexed="41"/>
      </patternFill>
    </fill>
    <fill>
      <patternFill patternType="solid">
        <fgColor rgb="FFD9E1F2"/>
        <bgColor indexed="64"/>
      </patternFill>
    </fill>
    <fill>
      <patternFill patternType="solid">
        <fgColor rgb="FFFFC000"/>
        <bgColor indexed="64"/>
      </patternFill>
    </fill>
    <fill>
      <patternFill patternType="solid">
        <fgColor rgb="FFBDD7EE"/>
        <bgColor indexed="64"/>
      </patternFill>
    </fill>
    <fill>
      <patternFill patternType="solid">
        <fgColor theme="9" tint="0.79998168889431442"/>
        <bgColor indexed="64"/>
      </patternFill>
    </fill>
    <fill>
      <patternFill patternType="solid">
        <fgColor rgb="FFFFC000"/>
        <bgColor indexed="41"/>
      </patternFill>
    </fill>
    <fill>
      <patternFill patternType="solid">
        <fgColor rgb="FFA9D08E"/>
        <bgColor indexed="41"/>
      </patternFill>
    </fill>
    <fill>
      <patternFill patternType="solid">
        <fgColor rgb="FFFFC000"/>
        <bgColor indexed="26"/>
      </patternFill>
    </fill>
    <fill>
      <patternFill patternType="solid">
        <fgColor rgb="FFCCFFFF"/>
        <bgColor indexed="41"/>
      </patternFill>
    </fill>
    <fill>
      <patternFill patternType="solid">
        <fgColor rgb="FFCCFFFF"/>
        <bgColor indexed="26"/>
      </patternFill>
    </fill>
    <fill>
      <patternFill patternType="solid">
        <fgColor rgb="FFA9D08E"/>
        <bgColor indexed="26"/>
      </patternFill>
    </fill>
    <fill>
      <patternFill patternType="solid">
        <fgColor rgb="FF8EA9DB"/>
        <bgColor indexed="26"/>
      </patternFill>
    </fill>
    <fill>
      <patternFill patternType="solid">
        <fgColor rgb="FFDDEBF7"/>
        <bgColor indexed="31"/>
      </patternFill>
    </fill>
    <fill>
      <patternFill patternType="solid">
        <fgColor rgb="FFDDEBF7"/>
        <bgColor indexed="64"/>
      </patternFill>
    </fill>
    <fill>
      <patternFill patternType="solid">
        <fgColor rgb="FF9BC2E6"/>
        <bgColor rgb="FFAFABAB"/>
      </patternFill>
    </fill>
    <fill>
      <patternFill patternType="solid">
        <fgColor rgb="FFBDD7EE"/>
        <bgColor rgb="FFAFABAB"/>
      </patternFill>
    </fill>
    <fill>
      <patternFill patternType="solid">
        <fgColor rgb="FFDDEBF7"/>
        <bgColor rgb="FFC0C0C0"/>
      </patternFill>
    </fill>
    <fill>
      <patternFill patternType="solid">
        <fgColor rgb="FFFFFFFF"/>
        <bgColor rgb="FFBFBFBF"/>
      </patternFill>
    </fill>
    <fill>
      <patternFill patternType="solid">
        <fgColor rgb="FFD9E1F2"/>
        <bgColor rgb="FFDAE3F3"/>
      </patternFill>
    </fill>
    <fill>
      <patternFill patternType="solid">
        <fgColor rgb="FFFFFFFF"/>
        <bgColor rgb="FFDAE3F3"/>
      </patternFill>
    </fill>
    <fill>
      <patternFill patternType="solid">
        <fgColor rgb="FF8EA9DB"/>
        <bgColor rgb="FFBFBFBF"/>
      </patternFill>
    </fill>
    <fill>
      <patternFill patternType="solid">
        <fgColor theme="9" tint="0.59999389629810485"/>
        <bgColor indexed="64"/>
      </patternFill>
    </fill>
  </fills>
  <borders count="38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auto="1"/>
      </left>
      <right/>
      <top style="medium">
        <color indexed="64"/>
      </top>
      <bottom style="thin">
        <color auto="1"/>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auto="1"/>
      </top>
      <bottom style="medium">
        <color indexed="64"/>
      </bottom>
      <diagonal/>
    </border>
    <border>
      <left/>
      <right style="thin">
        <color auto="1"/>
      </right>
      <top style="thin">
        <color auto="1"/>
      </top>
      <bottom style="medium">
        <color indexed="64"/>
      </bottom>
      <diagonal/>
    </border>
    <border>
      <left/>
      <right/>
      <top style="thin">
        <color indexed="64"/>
      </top>
      <bottom style="medium">
        <color indexed="64"/>
      </bottom>
      <diagonal/>
    </border>
    <border>
      <left style="medium">
        <color auto="1"/>
      </left>
      <right style="thin">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medium">
        <color auto="1"/>
      </top>
      <bottom/>
      <diagonal/>
    </border>
    <border>
      <left/>
      <right/>
      <top/>
      <bottom style="medium">
        <color auto="1"/>
      </bottom>
      <diagonal/>
    </border>
    <border>
      <left style="thin">
        <color indexed="8"/>
      </left>
      <right style="thin">
        <color indexed="8"/>
      </right>
      <top style="thin">
        <color indexed="8"/>
      </top>
      <bottom style="medium">
        <color indexed="8"/>
      </bottom>
      <diagonal/>
    </border>
    <border>
      <left/>
      <right style="medium">
        <color indexed="64"/>
      </right>
      <top style="medium">
        <color auto="1"/>
      </top>
      <bottom/>
      <diagonal/>
    </border>
    <border>
      <left/>
      <right style="medium">
        <color indexed="64"/>
      </right>
      <top/>
      <bottom style="medium">
        <color indexed="64"/>
      </bottom>
      <diagonal/>
    </border>
    <border>
      <left style="medium">
        <color indexed="64"/>
      </left>
      <right/>
      <top/>
      <bottom/>
      <diagonal/>
    </border>
    <border>
      <left/>
      <right style="medium">
        <color indexed="8"/>
      </right>
      <top style="thin">
        <color indexed="64"/>
      </top>
      <bottom style="medium">
        <color indexed="64"/>
      </bottom>
      <diagonal/>
    </border>
    <border>
      <left style="thin">
        <color indexed="8"/>
      </left>
      <right style="medium">
        <color indexed="8"/>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style="thin">
        <color indexed="64"/>
      </right>
      <top style="thin">
        <color indexed="8"/>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medium">
        <color indexed="64"/>
      </left>
      <right/>
      <top style="medium">
        <color auto="1"/>
      </top>
      <bottom/>
      <diagonal/>
    </border>
    <border>
      <left style="thin">
        <color indexed="8"/>
      </left>
      <right style="thin">
        <color indexed="8"/>
      </right>
      <top/>
      <bottom/>
      <diagonal/>
    </border>
    <border>
      <left style="medium">
        <color indexed="64"/>
      </left>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style="thin">
        <color indexed="64"/>
      </left>
      <right/>
      <top style="thin">
        <color indexed="64"/>
      </top>
      <bottom/>
      <diagonal/>
    </border>
    <border>
      <left style="thin">
        <color indexed="8"/>
      </left>
      <right style="medium">
        <color indexed="64"/>
      </right>
      <top style="thin">
        <color indexed="8"/>
      </top>
      <bottom style="thin">
        <color indexed="64"/>
      </bottom>
      <diagonal/>
    </border>
    <border>
      <left style="thin">
        <color indexed="8"/>
      </left>
      <right style="medium">
        <color indexed="64"/>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indexed="64"/>
      </top>
      <bottom style="medium">
        <color indexed="64"/>
      </bottom>
      <diagonal/>
    </border>
    <border>
      <left style="thin">
        <color auto="1"/>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8"/>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medium">
        <color indexed="64"/>
      </right>
      <top/>
      <bottom style="medium">
        <color indexed="64"/>
      </bottom>
      <diagonal/>
    </border>
    <border>
      <left style="medium">
        <color indexed="8"/>
      </left>
      <right/>
      <top/>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64"/>
      </left>
      <right style="medium">
        <color indexed="64"/>
      </right>
      <top style="thin">
        <color indexed="64"/>
      </top>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8"/>
      </left>
      <right style="medium">
        <color indexed="8"/>
      </right>
      <top style="medium">
        <color indexed="8"/>
      </top>
      <bottom style="thin">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64"/>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top style="thin">
        <color indexed="64"/>
      </top>
      <bottom style="medium">
        <color indexed="64"/>
      </bottom>
      <diagonal/>
    </border>
    <border>
      <left/>
      <right/>
      <top style="medium">
        <color auto="1"/>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thin">
        <color indexed="64"/>
      </right>
      <top style="thin">
        <color auto="1"/>
      </top>
      <bottom style="medium">
        <color indexed="64"/>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medium">
        <color indexed="8"/>
      </right>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auto="1"/>
      </left>
      <right style="medium">
        <color indexed="64"/>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auto="1"/>
      </right>
      <top style="thin">
        <color auto="1"/>
      </top>
      <bottom style="thin">
        <color auto="1"/>
      </bottom>
      <diagonal/>
    </border>
    <border>
      <left style="thin">
        <color indexed="8"/>
      </left>
      <right style="thin">
        <color indexed="8"/>
      </right>
      <top/>
      <bottom style="medium">
        <color indexed="64"/>
      </bottom>
      <diagonal/>
    </border>
    <border>
      <left style="thin">
        <color indexed="64"/>
      </left>
      <right style="thin">
        <color indexed="64"/>
      </right>
      <top/>
      <bottom style="medium">
        <color indexed="64"/>
      </bottom>
      <diagonal/>
    </border>
    <border>
      <left style="thin">
        <color indexed="8"/>
      </left>
      <right style="medium">
        <color indexed="64"/>
      </right>
      <top style="medium">
        <color indexed="64"/>
      </top>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auto="1"/>
      </top>
      <bottom style="medium">
        <color indexed="64"/>
      </bottom>
      <diagonal/>
    </border>
    <border>
      <left/>
      <right/>
      <top style="medium">
        <color auto="1"/>
      </top>
      <bottom/>
      <diagonal/>
    </border>
    <border>
      <left/>
      <right style="medium">
        <color indexed="64"/>
      </right>
      <top style="medium">
        <color auto="1"/>
      </top>
      <bottom/>
      <diagonal/>
    </border>
    <border>
      <left style="thin">
        <color indexed="8"/>
      </left>
      <right style="medium">
        <color indexed="64"/>
      </right>
      <top style="thin">
        <color indexed="8"/>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auto="1"/>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1547">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27"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3" xfId="50" applyNumberFormat="1" applyFont="1" applyBorder="1" applyAlignment="1" applyProtection="1">
      <alignment vertical="center"/>
    </xf>
    <xf numFmtId="170" fontId="29" fillId="0" borderId="18" xfId="50" applyNumberFormat="1" applyFont="1" applyBorder="1" applyAlignment="1" applyProtection="1">
      <alignment vertical="center"/>
    </xf>
    <xf numFmtId="10" fontId="28" fillId="32" borderId="19" xfId="49" applyNumberFormat="1" applyFont="1" applyFill="1" applyBorder="1" applyAlignment="1" applyProtection="1">
      <alignment horizontal="center" vertical="center"/>
    </xf>
    <xf numFmtId="0" fontId="29" fillId="0" borderId="28" xfId="49" applyFont="1" applyBorder="1" applyAlignment="1">
      <alignment horizontal="center"/>
    </xf>
    <xf numFmtId="170" fontId="29" fillId="0" borderId="22" xfId="50" applyNumberFormat="1" applyFont="1" applyBorder="1" applyAlignment="1" applyProtection="1">
      <alignment vertical="center"/>
    </xf>
    <xf numFmtId="44" fontId="29" fillId="0" borderId="29" xfId="49" applyNumberFormat="1" applyFont="1" applyBorder="1" applyAlignment="1" applyProtection="1">
      <alignment horizontal="center" vertical="center"/>
    </xf>
    <xf numFmtId="166" fontId="29" fillId="0" borderId="30" xfId="50" applyFont="1" applyBorder="1" applyAlignment="1" applyProtection="1">
      <alignment vertical="center"/>
    </xf>
    <xf numFmtId="0" fontId="28" fillId="33" borderId="20" xfId="49" applyFont="1" applyFill="1" applyBorder="1" applyAlignment="1" applyProtection="1">
      <alignment horizontal="center" vertical="center"/>
    </xf>
    <xf numFmtId="10" fontId="28" fillId="33" borderId="29" xfId="49" applyNumberFormat="1" applyFont="1" applyFill="1" applyBorder="1" applyAlignment="1" applyProtection="1">
      <alignment horizontal="center" vertical="center"/>
    </xf>
    <xf numFmtId="170" fontId="28" fillId="33" borderId="30"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1" xfId="49" applyFont="1" applyFill="1" applyBorder="1" applyAlignment="1" applyProtection="1">
      <alignment horizontal="left" vertical="center"/>
    </xf>
    <xf numFmtId="0" fontId="28" fillId="31" borderId="22"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0" xfId="50" applyNumberFormat="1" applyFont="1" applyBorder="1" applyAlignment="1" applyProtection="1">
      <alignment vertical="center"/>
    </xf>
    <xf numFmtId="10" fontId="28" fillId="32" borderId="25" xfId="49" applyNumberFormat="1" applyFont="1" applyFill="1" applyBorder="1" applyAlignment="1" applyProtection="1">
      <alignment horizontal="center" vertical="center"/>
    </xf>
    <xf numFmtId="1" fontId="29" fillId="0" borderId="29" xfId="49" applyNumberFormat="1" applyFont="1" applyBorder="1" applyAlignment="1" applyProtection="1">
      <alignment horizontal="center" vertical="center"/>
    </xf>
    <xf numFmtId="0" fontId="29" fillId="25" borderId="20" xfId="49" applyFont="1" applyFill="1" applyBorder="1"/>
    <xf numFmtId="0" fontId="28" fillId="32" borderId="21" xfId="49" applyFont="1" applyFill="1" applyBorder="1" applyAlignment="1" applyProtection="1">
      <alignment vertical="center"/>
    </xf>
    <xf numFmtId="0" fontId="28" fillId="32" borderId="29" xfId="49" applyFont="1" applyFill="1" applyBorder="1" applyAlignment="1" applyProtection="1">
      <alignment vertical="center"/>
    </xf>
    <xf numFmtId="166" fontId="28" fillId="32" borderId="30" xfId="31" applyNumberFormat="1"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3" fontId="28" fillId="36" borderId="11" xfId="35" applyNumberFormat="1" applyFont="1" applyFill="1" applyBorder="1" applyAlignment="1" applyProtection="1">
      <alignment vertical="center"/>
    </xf>
    <xf numFmtId="0" fontId="29" fillId="38" borderId="0" xfId="49" applyFont="1" applyFill="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27" xfId="0" applyFont="1" applyBorder="1" applyAlignment="1">
      <alignment horizontal="center"/>
    </xf>
    <xf numFmtId="10" fontId="28" fillId="0" borderId="17" xfId="51" applyNumberFormat="1" applyFont="1" applyBorder="1" applyAlignment="1" applyProtection="1">
      <alignment horizontal="center" vertical="center"/>
    </xf>
    <xf numFmtId="0" fontId="29" fillId="0" borderId="19" xfId="0" applyFont="1" applyBorder="1" applyAlignment="1" applyProtection="1">
      <alignment vertical="center"/>
    </xf>
    <xf numFmtId="0" fontId="29" fillId="0" borderId="17" xfId="0" applyFont="1" applyBorder="1" applyAlignment="1" applyProtection="1">
      <alignment vertical="center"/>
    </xf>
    <xf numFmtId="10" fontId="29" fillId="0" borderId="16" xfId="51" applyNumberFormat="1" applyFont="1" applyBorder="1" applyAlignment="1" applyProtection="1">
      <alignment horizontal="center" vertical="center"/>
    </xf>
    <xf numFmtId="10" fontId="28" fillId="32" borderId="19" xfId="0" applyNumberFormat="1" applyFont="1" applyFill="1" applyBorder="1" applyAlignment="1" applyProtection="1">
      <alignment horizontal="center" vertical="center"/>
    </xf>
    <xf numFmtId="0" fontId="29" fillId="0" borderId="28" xfId="0" applyFont="1" applyBorder="1" applyAlignment="1">
      <alignment horizontal="center"/>
    </xf>
    <xf numFmtId="10" fontId="29" fillId="0" borderId="26"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0" fontId="29" fillId="24" borderId="0" xfId="47" applyFont="1" applyFill="1" applyAlignment="1">
      <alignment vertical="center"/>
    </xf>
    <xf numFmtId="0" fontId="29" fillId="24" borderId="0" xfId="33" applyFont="1" applyFill="1" applyAlignment="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6"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3" xfId="65" applyFont="1" applyFill="1" applyBorder="1" applyAlignment="1" applyProtection="1"/>
    <xf numFmtId="0" fontId="33" fillId="42" borderId="0" xfId="0" applyFont="1" applyFill="1" applyProtection="1"/>
    <xf numFmtId="166" fontId="33" fillId="0" borderId="33" xfId="0" applyNumberFormat="1" applyFont="1" applyBorder="1"/>
    <xf numFmtId="0" fontId="33" fillId="0" borderId="32" xfId="0" applyFont="1" applyBorder="1"/>
    <xf numFmtId="39" fontId="33" fillId="42" borderId="0" xfId="0" applyNumberFormat="1" applyFont="1" applyFill="1" applyProtection="1"/>
    <xf numFmtId="0" fontId="32" fillId="16" borderId="33" xfId="0" applyFont="1" applyFill="1" applyBorder="1"/>
    <xf numFmtId="4" fontId="33" fillId="42" borderId="0" xfId="0" applyNumberFormat="1" applyFont="1" applyFill="1" applyProtection="1"/>
    <xf numFmtId="0" fontId="33" fillId="0" borderId="0" xfId="0" applyFont="1" applyFill="1" applyProtection="1"/>
    <xf numFmtId="174" fontId="32" fillId="0" borderId="33" xfId="0" applyNumberFormat="1" applyFont="1" applyFill="1" applyBorder="1" applyAlignment="1">
      <alignment horizontal="right"/>
    </xf>
    <xf numFmtId="166" fontId="32" fillId="0" borderId="33"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35" xfId="0" applyFont="1" applyFill="1" applyBorder="1"/>
    <xf numFmtId="0" fontId="33" fillId="42" borderId="35" xfId="0" applyFont="1" applyFill="1" applyBorder="1" applyProtection="1"/>
    <xf numFmtId="0" fontId="33" fillId="0" borderId="35" xfId="0" applyFont="1" applyBorder="1"/>
    <xf numFmtId="0" fontId="33" fillId="16" borderId="37"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2" xfId="0" applyNumberFormat="1" applyFont="1" applyBorder="1"/>
    <xf numFmtId="10" fontId="29" fillId="0" borderId="24" xfId="35" applyNumberFormat="1" applyFont="1" applyBorder="1" applyAlignment="1" applyProtection="1">
      <alignment horizontal="center" vertical="center"/>
    </xf>
    <xf numFmtId="0" fontId="28" fillId="31" borderId="16" xfId="49" applyFont="1" applyFill="1" applyBorder="1" applyAlignment="1" applyProtection="1">
      <alignment horizontal="center"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48" xfId="0" applyFont="1" applyFill="1" applyBorder="1" applyAlignment="1">
      <alignment horizontal="center" vertical="center" wrapText="1"/>
    </xf>
    <xf numFmtId="0" fontId="44" fillId="0" borderId="35" xfId="0" applyFont="1" applyFill="1" applyBorder="1" applyAlignment="1">
      <alignment horizontal="justify" vertical="center" wrapText="1"/>
    </xf>
    <xf numFmtId="0" fontId="42" fillId="0" borderId="49" xfId="0" applyFont="1" applyFill="1" applyBorder="1" applyAlignment="1">
      <alignment horizontal="center" vertical="center" wrapText="1"/>
    </xf>
    <xf numFmtId="0" fontId="44" fillId="0" borderId="30" xfId="0" applyFont="1" applyFill="1" applyBorder="1" applyAlignment="1">
      <alignment horizontal="left" vertical="center" wrapText="1"/>
    </xf>
    <xf numFmtId="0" fontId="42" fillId="0" borderId="41" xfId="0" applyFont="1" applyFill="1" applyBorder="1" applyAlignment="1">
      <alignment horizontal="justify" vertical="center" wrapText="1"/>
    </xf>
    <xf numFmtId="0" fontId="44" fillId="0" borderId="42" xfId="0" applyFont="1" applyFill="1" applyBorder="1" applyAlignment="1">
      <alignment horizontal="left" vertical="center" wrapText="1"/>
    </xf>
    <xf numFmtId="0" fontId="42" fillId="48" borderId="41" xfId="0" applyFont="1" applyFill="1" applyBorder="1" applyAlignment="1">
      <alignment horizontal="justify" vertical="center" wrapText="1"/>
    </xf>
    <xf numFmtId="0" fontId="44" fillId="48" borderId="42" xfId="0" applyFont="1" applyFill="1" applyBorder="1" applyAlignment="1">
      <alignment horizontal="left" vertical="center" wrapText="1"/>
    </xf>
    <xf numFmtId="0" fontId="42" fillId="0" borderId="41" xfId="0" applyFont="1" applyFill="1" applyBorder="1" applyAlignment="1">
      <alignment horizontal="center" vertical="center" wrapText="1"/>
    </xf>
    <xf numFmtId="0" fontId="44" fillId="0" borderId="42" xfId="0" applyFont="1" applyFill="1" applyBorder="1" applyAlignment="1">
      <alignment horizontal="justify" vertical="center" wrapText="1"/>
    </xf>
    <xf numFmtId="0" fontId="44" fillId="0" borderId="50" xfId="0" applyFont="1" applyFill="1" applyBorder="1" applyAlignment="1">
      <alignment horizontal="justify" vertical="center" wrapText="1"/>
    </xf>
    <xf numFmtId="0" fontId="46" fillId="0" borderId="50" xfId="49" applyFont="1" applyFill="1" applyBorder="1" applyAlignment="1">
      <alignment horizontal="justify" vertical="center"/>
    </xf>
    <xf numFmtId="0" fontId="44" fillId="0" borderId="50" xfId="0" applyFont="1" applyFill="1" applyBorder="1" applyAlignment="1">
      <alignment horizontal="left" vertical="center" wrapText="1"/>
    </xf>
    <xf numFmtId="0" fontId="44" fillId="48" borderId="50" xfId="0" applyFont="1" applyFill="1" applyBorder="1" applyAlignment="1">
      <alignment horizontal="justify" vertical="center" wrapText="1"/>
    </xf>
    <xf numFmtId="0" fontId="44" fillId="0" borderId="30" xfId="0" applyFont="1" applyFill="1" applyBorder="1" applyAlignment="1">
      <alignment horizontal="justify" vertical="center" wrapText="1"/>
    </xf>
    <xf numFmtId="0" fontId="42" fillId="48" borderId="50" xfId="0" applyFont="1" applyFill="1" applyBorder="1" applyAlignment="1">
      <alignment horizontal="justify" vertical="center" wrapText="1"/>
    </xf>
    <xf numFmtId="0" fontId="28" fillId="31" borderId="45" xfId="49" applyFont="1" applyFill="1" applyBorder="1" applyAlignment="1" applyProtection="1">
      <alignment horizontal="center" vertical="center"/>
    </xf>
    <xf numFmtId="166" fontId="28" fillId="31" borderId="46" xfId="50" applyFont="1" applyFill="1" applyBorder="1" applyAlignment="1" applyProtection="1">
      <alignment horizontal="center" vertical="center"/>
    </xf>
    <xf numFmtId="0" fontId="29" fillId="0" borderId="34" xfId="0" applyFont="1" applyBorder="1" applyAlignment="1">
      <alignment horizontal="center"/>
    </xf>
    <xf numFmtId="0" fontId="29" fillId="0" borderId="58" xfId="0" applyFont="1" applyBorder="1" applyAlignment="1" applyProtection="1">
      <alignment horizontal="center" vertical="center"/>
    </xf>
    <xf numFmtId="166" fontId="29" fillId="0" borderId="59" xfId="50" applyFont="1" applyBorder="1" applyAlignment="1" applyProtection="1">
      <alignment vertical="center"/>
    </xf>
    <xf numFmtId="10" fontId="29" fillId="0" borderId="58" xfId="0" applyNumberFormat="1" applyFont="1" applyBorder="1" applyAlignment="1" applyProtection="1">
      <alignment horizontal="center" vertical="center"/>
    </xf>
    <xf numFmtId="166" fontId="28" fillId="32" borderId="46" xfId="50" applyFont="1" applyFill="1" applyBorder="1" applyAlignment="1" applyProtection="1">
      <alignment vertical="center"/>
    </xf>
    <xf numFmtId="10" fontId="29" fillId="0" borderId="58" xfId="51" applyNumberFormat="1" applyFont="1" applyBorder="1" applyAlignment="1" applyProtection="1">
      <alignment horizontal="center" vertical="center"/>
    </xf>
    <xf numFmtId="170" fontId="29" fillId="0" borderId="35" xfId="50" applyNumberFormat="1" applyFont="1" applyBorder="1" applyAlignment="1" applyProtection="1">
      <alignment vertical="center"/>
    </xf>
    <xf numFmtId="0" fontId="29" fillId="0" borderId="41" xfId="0" applyFont="1" applyBorder="1" applyAlignment="1">
      <alignment horizontal="center"/>
    </xf>
    <xf numFmtId="10" fontId="29" fillId="0" borderId="36" xfId="51" applyNumberFormat="1" applyFont="1" applyBorder="1" applyAlignment="1" applyProtection="1">
      <alignment horizontal="center" vertical="center"/>
    </xf>
    <xf numFmtId="0" fontId="29" fillId="0" borderId="34" xfId="0" applyFont="1" applyBorder="1"/>
    <xf numFmtId="0" fontId="29" fillId="0" borderId="45" xfId="0" applyFont="1" applyBorder="1" applyAlignment="1" applyProtection="1">
      <alignment horizontal="center" vertical="center"/>
    </xf>
    <xf numFmtId="170" fontId="28" fillId="32" borderId="46" xfId="0" applyNumberFormat="1" applyFont="1" applyFill="1" applyBorder="1" applyAlignment="1" applyProtection="1">
      <alignment horizontal="right" vertical="center"/>
    </xf>
    <xf numFmtId="170" fontId="29" fillId="0" borderId="59" xfId="50" applyNumberFormat="1" applyFont="1" applyBorder="1" applyAlignment="1" applyProtection="1">
      <alignment vertical="center"/>
    </xf>
    <xf numFmtId="10" fontId="29" fillId="0" borderId="58" xfId="51" applyNumberFormat="1" applyFont="1" applyFill="1" applyBorder="1" applyAlignment="1" applyProtection="1">
      <alignment horizontal="center" vertical="center"/>
    </xf>
    <xf numFmtId="44" fontId="29" fillId="0" borderId="58" xfId="49" applyNumberFormat="1" applyFont="1" applyFill="1" applyBorder="1" applyAlignment="1" applyProtection="1">
      <alignment horizontal="center" vertical="center"/>
    </xf>
    <xf numFmtId="0" fontId="29" fillId="0" borderId="58" xfId="0" applyNumberFormat="1" applyFont="1" applyBorder="1" applyAlignment="1" applyProtection="1">
      <alignment horizontal="center" vertical="center"/>
    </xf>
    <xf numFmtId="0" fontId="29" fillId="0" borderId="58" xfId="0" applyNumberFormat="1" applyFont="1" applyFill="1" applyBorder="1" applyAlignment="1" applyProtection="1">
      <alignment horizontal="center" vertical="center"/>
    </xf>
    <xf numFmtId="166" fontId="29" fillId="0" borderId="35" xfId="50" applyFont="1" applyFill="1" applyBorder="1" applyAlignment="1" applyProtection="1">
      <alignment vertical="center"/>
    </xf>
    <xf numFmtId="166" fontId="29" fillId="0" borderId="35" xfId="50" applyFont="1" applyBorder="1" applyAlignment="1" applyProtection="1">
      <alignment vertical="center"/>
    </xf>
    <xf numFmtId="44" fontId="29" fillId="0" borderId="36" xfId="0" applyNumberFormat="1" applyFont="1" applyFill="1" applyBorder="1" applyAlignment="1" applyProtection="1">
      <alignment horizontal="center" vertical="center"/>
    </xf>
    <xf numFmtId="0" fontId="28" fillId="33" borderId="34" xfId="49" applyFont="1" applyFill="1" applyBorder="1" applyAlignment="1" applyProtection="1">
      <alignment horizontal="center" vertical="center"/>
    </xf>
    <xf numFmtId="170" fontId="28" fillId="33" borderId="59" xfId="49" applyNumberFormat="1" applyFont="1" applyFill="1" applyBorder="1" applyAlignment="1" applyProtection="1">
      <alignment horizontal="right" vertical="center"/>
    </xf>
    <xf numFmtId="10" fontId="29" fillId="0" borderId="58" xfId="35" applyNumberFormat="1" applyFont="1" applyFill="1" applyBorder="1" applyAlignment="1" applyProtection="1">
      <alignment horizontal="center" vertical="center"/>
    </xf>
    <xf numFmtId="10" fontId="29" fillId="0" borderId="36" xfId="35" applyNumberFormat="1" applyFont="1" applyFill="1" applyBorder="1" applyAlignment="1" applyProtection="1">
      <alignment horizontal="center" vertical="center"/>
    </xf>
    <xf numFmtId="170" fontId="29" fillId="0" borderId="42" xfId="50" applyNumberFormat="1" applyFont="1" applyBorder="1" applyAlignment="1" applyProtection="1">
      <alignment vertical="center"/>
    </xf>
    <xf numFmtId="170" fontId="28" fillId="32" borderId="42" xfId="49" applyNumberFormat="1" applyFont="1" applyFill="1" applyBorder="1" applyAlignment="1" applyProtection="1">
      <alignment horizontal="right" vertical="center"/>
    </xf>
    <xf numFmtId="170" fontId="28" fillId="32" borderId="46" xfId="49" applyNumberFormat="1" applyFont="1" applyFill="1" applyBorder="1" applyAlignment="1" applyProtection="1">
      <alignment horizontal="right" vertical="center"/>
    </xf>
    <xf numFmtId="10" fontId="28" fillId="0" borderId="36" xfId="35" applyNumberFormat="1" applyFont="1" applyFill="1" applyBorder="1" applyAlignment="1" applyProtection="1">
      <alignment horizontal="center" vertical="center"/>
    </xf>
    <xf numFmtId="170" fontId="28" fillId="0" borderId="42" xfId="50" applyNumberFormat="1" applyFont="1" applyBorder="1" applyAlignment="1" applyProtection="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9" fillId="24" borderId="0" xfId="0" applyFont="1" applyFill="1" applyAlignment="1">
      <alignment vertical="center"/>
    </xf>
    <xf numFmtId="0" fontId="39" fillId="24" borderId="0" xfId="47" applyFont="1" applyFill="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35"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35" xfId="0" applyNumberFormat="1" applyFont="1" applyFill="1" applyBorder="1"/>
    <xf numFmtId="0" fontId="32" fillId="16" borderId="61" xfId="0" applyFont="1" applyFill="1" applyBorder="1" applyAlignment="1">
      <alignment vertical="center"/>
    </xf>
    <xf numFmtId="1" fontId="32" fillId="41" borderId="64" xfId="0" applyNumberFormat="1" applyFont="1" applyFill="1" applyBorder="1" applyAlignment="1">
      <alignment horizontal="center" vertical="center"/>
    </xf>
    <xf numFmtId="0" fontId="28" fillId="43" borderId="76" xfId="0" applyFont="1" applyFill="1" applyBorder="1" applyAlignment="1">
      <alignment horizontal="center" vertical="center" wrapText="1"/>
    </xf>
    <xf numFmtId="0" fontId="28" fillId="47" borderId="61" xfId="0" applyFont="1" applyFill="1" applyBorder="1" applyAlignment="1">
      <alignment vertical="center"/>
    </xf>
    <xf numFmtId="0" fontId="33" fillId="42" borderId="33" xfId="0" applyFont="1" applyFill="1" applyBorder="1"/>
    <xf numFmtId="43" fontId="33" fillId="42" borderId="33" xfId="0" applyNumberFormat="1" applyFont="1" applyFill="1" applyBorder="1"/>
    <xf numFmtId="0" fontId="28" fillId="47" borderId="77" xfId="0" applyFont="1" applyFill="1" applyBorder="1" applyAlignment="1">
      <alignment vertical="center"/>
    </xf>
    <xf numFmtId="166" fontId="33" fillId="0" borderId="78" xfId="65" applyFont="1" applyFill="1" applyBorder="1" applyAlignment="1" applyProtection="1"/>
    <xf numFmtId="0" fontId="33" fillId="42" borderId="78" xfId="0" applyFont="1" applyFill="1" applyBorder="1"/>
    <xf numFmtId="43" fontId="33" fillId="42" borderId="78" xfId="0" applyNumberFormat="1" applyFont="1" applyFill="1" applyBorder="1"/>
    <xf numFmtId="166" fontId="33" fillId="42" borderId="0" xfId="0" applyNumberFormat="1" applyFont="1" applyFill="1"/>
    <xf numFmtId="0" fontId="29" fillId="0" borderId="67" xfId="0" applyFont="1" applyFill="1" applyBorder="1" applyAlignment="1">
      <alignment horizontal="center" vertical="center"/>
    </xf>
    <xf numFmtId="0" fontId="29" fillId="0" borderId="69" xfId="0" applyFont="1" applyFill="1" applyBorder="1"/>
    <xf numFmtId="0" fontId="35" fillId="40" borderId="66" xfId="47" applyFont="1" applyFill="1" applyBorder="1" applyAlignment="1">
      <alignment horizontal="center" vertical="center" wrapText="1"/>
    </xf>
    <xf numFmtId="166" fontId="33" fillId="42" borderId="0" xfId="0" applyNumberFormat="1" applyFont="1" applyFill="1" applyProtection="1"/>
    <xf numFmtId="174" fontId="33" fillId="42" borderId="0" xfId="0" applyNumberFormat="1" applyFont="1" applyFill="1" applyProtection="1"/>
    <xf numFmtId="43" fontId="33" fillId="42" borderId="0" xfId="0" applyNumberFormat="1" applyFont="1" applyFill="1" applyProtection="1"/>
    <xf numFmtId="1" fontId="32" fillId="46" borderId="64" xfId="0" applyNumberFormat="1" applyFont="1" applyFill="1" applyBorder="1" applyAlignment="1">
      <alignment horizontal="center" vertical="center"/>
    </xf>
    <xf numFmtId="0" fontId="29" fillId="0" borderId="99" xfId="0" applyFont="1" applyFill="1" applyBorder="1"/>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29" fillId="0" borderId="101" xfId="0" applyFont="1" applyBorder="1" applyAlignment="1">
      <alignment horizontal="center"/>
    </xf>
    <xf numFmtId="0" fontId="32" fillId="16" borderId="105" xfId="0" applyFont="1" applyFill="1" applyBorder="1" applyAlignment="1">
      <alignment vertical="center"/>
    </xf>
    <xf numFmtId="0" fontId="32" fillId="0" borderId="84" xfId="0" applyFont="1" applyBorder="1" applyAlignment="1">
      <alignment vertical="center"/>
    </xf>
    <xf numFmtId="0" fontId="28" fillId="43" borderId="112" xfId="0" applyFont="1" applyFill="1" applyBorder="1" applyAlignment="1">
      <alignment horizontal="center" vertical="center" wrapText="1"/>
    </xf>
    <xf numFmtId="0" fontId="28" fillId="43" borderId="113" xfId="0" applyFont="1" applyFill="1" applyBorder="1" applyAlignment="1">
      <alignment horizontal="center" vertical="center" wrapText="1"/>
    </xf>
    <xf numFmtId="0" fontId="28" fillId="47" borderId="105" xfId="0" applyFont="1" applyFill="1" applyBorder="1" applyAlignment="1">
      <alignment vertical="center"/>
    </xf>
    <xf numFmtId="0" fontId="33" fillId="42" borderId="103" xfId="0" applyFont="1" applyFill="1" applyBorder="1"/>
    <xf numFmtId="43" fontId="33" fillId="42" borderId="103" xfId="0" applyNumberFormat="1" applyFont="1" applyFill="1" applyBorder="1"/>
    <xf numFmtId="166" fontId="33" fillId="0" borderId="103" xfId="65" applyFont="1" applyFill="1" applyBorder="1" applyAlignment="1" applyProtection="1"/>
    <xf numFmtId="0" fontId="28" fillId="47" borderId="114" xfId="0" applyFont="1" applyFill="1" applyBorder="1" applyAlignment="1">
      <alignment vertical="center"/>
    </xf>
    <xf numFmtId="166" fontId="33" fillId="0" borderId="115" xfId="65" applyFont="1" applyFill="1" applyBorder="1" applyAlignment="1" applyProtection="1"/>
    <xf numFmtId="0" fontId="33" fillId="42" borderId="115" xfId="0" applyFont="1" applyFill="1" applyBorder="1"/>
    <xf numFmtId="1" fontId="32" fillId="46" borderId="96" xfId="0" applyNumberFormat="1" applyFont="1" applyFill="1" applyBorder="1" applyAlignment="1">
      <alignment horizontal="center" vertical="center"/>
    </xf>
    <xf numFmtId="1" fontId="32" fillId="46" borderId="111" xfId="0" applyNumberFormat="1" applyFont="1" applyFill="1" applyBorder="1" applyAlignment="1">
      <alignment horizontal="center" vertical="center"/>
    </xf>
    <xf numFmtId="0" fontId="33" fillId="42" borderId="102" xfId="0" applyFont="1" applyFill="1" applyBorder="1"/>
    <xf numFmtId="0" fontId="28" fillId="43" borderId="116" xfId="0" applyFont="1" applyFill="1" applyBorder="1" applyAlignment="1">
      <alignment horizontal="center" vertical="center" wrapText="1"/>
    </xf>
    <xf numFmtId="0" fontId="33" fillId="16" borderId="61" xfId="0" applyFont="1" applyFill="1" applyBorder="1" applyAlignment="1">
      <alignment vertical="center"/>
    </xf>
    <xf numFmtId="166" fontId="33" fillId="0" borderId="62" xfId="65" applyFont="1" applyFill="1" applyBorder="1" applyAlignment="1" applyProtection="1"/>
    <xf numFmtId="0" fontId="28" fillId="43" borderId="117" xfId="0" applyFont="1" applyFill="1" applyBorder="1" applyAlignment="1">
      <alignment horizontal="center" vertical="center"/>
    </xf>
    <xf numFmtId="0" fontId="28" fillId="43" borderId="118" xfId="0" applyFont="1" applyFill="1" applyBorder="1" applyAlignment="1">
      <alignment horizontal="center" vertical="center" wrapText="1"/>
    </xf>
    <xf numFmtId="0" fontId="32" fillId="16" borderId="119" xfId="0" applyFont="1" applyFill="1" applyBorder="1" applyAlignment="1">
      <alignment vertical="center"/>
    </xf>
    <xf numFmtId="0" fontId="32" fillId="16" borderId="120" xfId="0" applyFont="1" applyFill="1" applyBorder="1"/>
    <xf numFmtId="0" fontId="32" fillId="16" borderId="121" xfId="0" applyFont="1" applyFill="1" applyBorder="1"/>
    <xf numFmtId="0" fontId="33" fillId="43" borderId="122" xfId="0" applyFont="1" applyFill="1" applyBorder="1"/>
    <xf numFmtId="2" fontId="32" fillId="0" borderId="125" xfId="0" applyNumberFormat="1" applyFont="1" applyBorder="1"/>
    <xf numFmtId="0" fontId="33" fillId="0" borderId="103" xfId="0" applyNumberFormat="1" applyFont="1" applyBorder="1"/>
    <xf numFmtId="166" fontId="33" fillId="0" borderId="103" xfId="0" applyNumberFormat="1" applyFont="1" applyBorder="1"/>
    <xf numFmtId="0" fontId="32" fillId="0" borderId="125" xfId="0" applyFont="1" applyBorder="1"/>
    <xf numFmtId="0" fontId="33" fillId="0" borderId="102" xfId="0" applyFont="1" applyBorder="1"/>
    <xf numFmtId="0" fontId="32" fillId="16" borderId="129" xfId="0" applyFont="1" applyFill="1" applyBorder="1" applyAlignment="1">
      <alignment vertical="center"/>
    </xf>
    <xf numFmtId="0" fontId="32" fillId="16" borderId="130" xfId="0" applyFont="1" applyFill="1" applyBorder="1"/>
    <xf numFmtId="0" fontId="32" fillId="16" borderId="131" xfId="0" applyFont="1" applyFill="1" applyBorder="1"/>
    <xf numFmtId="175" fontId="33" fillId="0" borderId="132" xfId="0" applyNumberFormat="1" applyFont="1" applyBorder="1" applyAlignment="1">
      <alignment horizontal="center"/>
    </xf>
    <xf numFmtId="0" fontId="33" fillId="0" borderId="132" xfId="0" applyFont="1" applyBorder="1"/>
    <xf numFmtId="176" fontId="33" fillId="0" borderId="132" xfId="0" applyNumberFormat="1" applyFont="1" applyBorder="1"/>
    <xf numFmtId="166" fontId="33" fillId="0" borderId="132" xfId="0" applyNumberFormat="1" applyFont="1" applyBorder="1"/>
    <xf numFmtId="4" fontId="33" fillId="0" borderId="133" xfId="0" applyNumberFormat="1" applyFont="1" applyBorder="1"/>
    <xf numFmtId="0" fontId="33" fillId="43" borderId="122" xfId="0" applyFont="1" applyFill="1" applyBorder="1" applyAlignment="1">
      <alignment vertical="center"/>
    </xf>
    <xf numFmtId="0" fontId="33" fillId="43" borderId="123" xfId="0" applyFont="1" applyFill="1" applyBorder="1"/>
    <xf numFmtId="0" fontId="32" fillId="43" borderId="124" xfId="0" applyFont="1" applyFill="1" applyBorder="1" applyAlignment="1">
      <alignment horizontal="right" vertical="center"/>
    </xf>
    <xf numFmtId="4" fontId="32" fillId="0" borderId="134" xfId="0" applyNumberFormat="1" applyFont="1" applyBorder="1"/>
    <xf numFmtId="0" fontId="33" fillId="0" borderId="102" xfId="0" applyFont="1" applyFill="1" applyBorder="1"/>
    <xf numFmtId="174" fontId="32" fillId="0" borderId="103" xfId="0" applyNumberFormat="1" applyFont="1" applyFill="1" applyBorder="1"/>
    <xf numFmtId="0" fontId="34" fillId="42" borderId="102" xfId="0" applyFont="1" applyFill="1" applyBorder="1" applyAlignment="1" applyProtection="1">
      <alignment horizontal="left"/>
    </xf>
    <xf numFmtId="174" fontId="32" fillId="0" borderId="104" xfId="0" applyNumberFormat="1" applyFont="1" applyFill="1" applyBorder="1"/>
    <xf numFmtId="166" fontId="33" fillId="0" borderId="107" xfId="65" applyFont="1" applyFill="1" applyBorder="1" applyAlignment="1" applyProtection="1"/>
    <xf numFmtId="0" fontId="33" fillId="42" borderId="107" xfId="0" applyFont="1" applyFill="1" applyBorder="1"/>
    <xf numFmtId="0" fontId="35" fillId="40" borderId="64" xfId="47" applyFont="1" applyFill="1" applyBorder="1" applyAlignment="1">
      <alignment horizontal="center" vertical="center" wrapText="1"/>
    </xf>
    <xf numFmtId="0" fontId="35" fillId="40" borderId="44" xfId="47" applyFont="1" applyFill="1" applyBorder="1" applyAlignment="1">
      <alignment horizontal="center" vertical="center" wrapText="1"/>
    </xf>
    <xf numFmtId="0" fontId="29" fillId="0" borderId="135" xfId="0" applyFont="1" applyFill="1" applyBorder="1"/>
    <xf numFmtId="0" fontId="29" fillId="0" borderId="41" xfId="0" applyFont="1" applyFill="1" applyBorder="1"/>
    <xf numFmtId="0" fontId="29" fillId="0" borderId="87" xfId="0" applyFont="1" applyFill="1" applyBorder="1" applyAlignment="1">
      <alignment horizontal="center" vertical="center"/>
    </xf>
    <xf numFmtId="0" fontId="35" fillId="40" borderId="160" xfId="47" applyFont="1" applyFill="1" applyBorder="1" applyAlignment="1">
      <alignment horizontal="center" vertical="center" wrapText="1"/>
    </xf>
    <xf numFmtId="0" fontId="29" fillId="0" borderId="165" xfId="0" applyFont="1" applyFill="1" applyBorder="1" applyAlignment="1">
      <alignment horizontal="center" vertical="center"/>
    </xf>
    <xf numFmtId="0" fontId="29" fillId="0" borderId="135" xfId="0" applyFont="1" applyFill="1" applyBorder="1" applyAlignment="1">
      <alignment vertical="center" wrapText="1"/>
    </xf>
    <xf numFmtId="0" fontId="29" fillId="0" borderId="41" xfId="47" applyFont="1" applyFill="1" applyBorder="1" applyAlignment="1">
      <alignment vertical="center"/>
    </xf>
    <xf numFmtId="0" fontId="29" fillId="0" borderId="162" xfId="55" applyFont="1" applyFill="1" applyBorder="1" applyAlignment="1">
      <alignment vertical="center"/>
    </xf>
    <xf numFmtId="0" fontId="29" fillId="0" borderId="135" xfId="0" applyFont="1" applyFill="1" applyBorder="1" applyAlignment="1">
      <alignment wrapText="1"/>
    </xf>
    <xf numFmtId="44" fontId="29" fillId="0" borderId="138" xfId="50" applyNumberFormat="1" applyFont="1" applyBorder="1" applyAlignment="1">
      <alignment horizontal="center" vertical="center"/>
    </xf>
    <xf numFmtId="0" fontId="29" fillId="0" borderId="162" xfId="50" applyNumberFormat="1" applyFont="1" applyBorder="1" applyAlignment="1">
      <alignment horizontal="center" vertical="center"/>
    </xf>
    <xf numFmtId="44" fontId="29" fillId="0" borderId="173" xfId="50" applyNumberFormat="1" applyFont="1" applyBorder="1" applyAlignment="1">
      <alignment horizontal="center" vertical="center"/>
    </xf>
    <xf numFmtId="0" fontId="29" fillId="0" borderId="137" xfId="50" applyNumberFormat="1" applyFont="1" applyFill="1" applyBorder="1" applyAlignment="1">
      <alignment horizontal="center" vertical="center"/>
    </xf>
    <xf numFmtId="44" fontId="29" fillId="0" borderId="91" xfId="50" applyNumberFormat="1" applyFont="1" applyBorder="1" applyAlignment="1">
      <alignment horizontal="center" vertical="center"/>
    </xf>
    <xf numFmtId="0" fontId="29" fillId="0" borderId="41" xfId="50" applyNumberFormat="1" applyFont="1" applyBorder="1" applyAlignment="1">
      <alignment horizontal="center" vertical="center"/>
    </xf>
    <xf numFmtId="44" fontId="29" fillId="0" borderId="93" xfId="50" applyNumberFormat="1" applyFont="1" applyBorder="1" applyAlignment="1">
      <alignment horizontal="center" vertical="center"/>
    </xf>
    <xf numFmtId="0" fontId="29" fillId="0" borderId="152" xfId="50" applyNumberFormat="1" applyFont="1" applyFill="1" applyBorder="1" applyAlignment="1">
      <alignment horizontal="center" vertical="center"/>
    </xf>
    <xf numFmtId="0" fontId="29" fillId="0" borderId="101" xfId="0" applyFont="1" applyFill="1" applyBorder="1"/>
    <xf numFmtId="0" fontId="29" fillId="0" borderId="175" xfId="0" applyFont="1" applyFill="1" applyBorder="1" applyAlignment="1">
      <alignment horizontal="center" vertical="center"/>
    </xf>
    <xf numFmtId="0" fontId="28" fillId="25" borderId="158" xfId="47" applyFont="1" applyFill="1" applyBorder="1" applyAlignment="1">
      <alignment vertical="center"/>
    </xf>
    <xf numFmtId="0" fontId="28" fillId="25" borderId="158" xfId="47" applyFont="1" applyFill="1" applyBorder="1" applyAlignment="1">
      <alignment horizontal="center" vertical="center"/>
    </xf>
    <xf numFmtId="0" fontId="29" fillId="0" borderId="156" xfId="0" applyFont="1" applyFill="1" applyBorder="1"/>
    <xf numFmtId="0" fontId="29" fillId="0" borderId="169" xfId="0" applyFont="1" applyFill="1" applyBorder="1" applyAlignment="1">
      <alignment horizontal="center" vertical="center"/>
    </xf>
    <xf numFmtId="0" fontId="29" fillId="0" borderId="168" xfId="50" applyNumberFormat="1" applyFont="1" applyBorder="1" applyAlignment="1">
      <alignment horizontal="center" vertical="center"/>
    </xf>
    <xf numFmtId="44" fontId="29" fillId="0" borderId="174" xfId="50" applyNumberFormat="1" applyFont="1" applyBorder="1" applyAlignment="1">
      <alignment horizontal="center" vertical="center"/>
    </xf>
    <xf numFmtId="0" fontId="29" fillId="0" borderId="154" xfId="50" applyNumberFormat="1" applyFont="1" applyFill="1" applyBorder="1" applyAlignment="1">
      <alignment horizontal="center" vertical="center"/>
    </xf>
    <xf numFmtId="44" fontId="28" fillId="25" borderId="176" xfId="47" applyNumberFormat="1" applyFont="1" applyFill="1" applyBorder="1" applyAlignment="1">
      <alignment vertical="center"/>
    </xf>
    <xf numFmtId="44" fontId="28" fillId="25" borderId="176" xfId="48" applyNumberFormat="1" applyFont="1" applyFill="1" applyBorder="1" applyAlignment="1">
      <alignment horizontal="center" vertical="center"/>
    </xf>
    <xf numFmtId="167" fontId="29" fillId="24" borderId="164" xfId="46" applyFont="1" applyFill="1" applyBorder="1" applyAlignment="1">
      <alignment horizontal="center" vertical="center"/>
    </xf>
    <xf numFmtId="0" fontId="28" fillId="25" borderId="156" xfId="47" applyFont="1" applyFill="1" applyBorder="1" applyAlignment="1">
      <alignment horizontal="center" vertical="center"/>
    </xf>
    <xf numFmtId="0" fontId="29" fillId="0" borderId="152" xfId="46" applyNumberFormat="1" applyFont="1" applyFill="1" applyBorder="1" applyAlignment="1">
      <alignment horizontal="center" vertical="center"/>
    </xf>
    <xf numFmtId="0" fontId="29" fillId="0" borderId="137" xfId="46" applyNumberFormat="1" applyFont="1" applyFill="1" applyBorder="1" applyAlignment="1">
      <alignment horizontal="center" vertical="center"/>
    </xf>
    <xf numFmtId="0" fontId="28" fillId="25" borderId="136" xfId="33" applyFont="1" applyFill="1" applyBorder="1" applyAlignment="1">
      <alignment vertical="center"/>
    </xf>
    <xf numFmtId="0" fontId="29" fillId="0" borderId="175" xfId="46" applyNumberFormat="1" applyFont="1" applyFill="1" applyBorder="1" applyAlignment="1">
      <alignment horizontal="center" vertical="center"/>
    </xf>
    <xf numFmtId="0" fontId="29" fillId="0" borderId="169" xfId="46" applyNumberFormat="1" applyFont="1" applyFill="1" applyBorder="1" applyAlignment="1">
      <alignment horizontal="center" vertical="center"/>
    </xf>
    <xf numFmtId="0" fontId="29" fillId="0" borderId="65" xfId="46" applyNumberFormat="1" applyFont="1" applyFill="1" applyBorder="1" applyAlignment="1">
      <alignment horizontal="center" vertical="center"/>
    </xf>
    <xf numFmtId="44" fontId="29" fillId="24" borderId="93" xfId="46" applyNumberFormat="1" applyFont="1" applyFill="1" applyBorder="1" applyAlignment="1">
      <alignment vertical="center"/>
    </xf>
    <xf numFmtId="44" fontId="29" fillId="24" borderId="173" xfId="46" applyNumberFormat="1" applyFont="1" applyFill="1" applyBorder="1" applyAlignment="1">
      <alignment vertical="center"/>
    </xf>
    <xf numFmtId="44" fontId="28" fillId="25" borderId="64" xfId="47" applyNumberFormat="1" applyFont="1" applyFill="1" applyBorder="1" applyAlignment="1">
      <alignment horizontal="center" vertical="center"/>
    </xf>
    <xf numFmtId="0" fontId="29" fillId="24" borderId="41" xfId="46" applyNumberFormat="1" applyFont="1" applyFill="1" applyBorder="1" applyAlignment="1">
      <alignment horizontal="center" vertical="center"/>
    </xf>
    <xf numFmtId="0" fontId="29" fillId="24" borderId="162" xfId="46" applyNumberFormat="1" applyFont="1" applyFill="1" applyBorder="1" applyAlignment="1">
      <alignment horizontal="center" vertical="center"/>
    </xf>
    <xf numFmtId="167" fontId="28" fillId="25" borderId="68" xfId="46" applyFont="1" applyFill="1" applyBorder="1" applyAlignment="1">
      <alignment horizontal="center" vertical="center"/>
    </xf>
    <xf numFmtId="0" fontId="35" fillId="40" borderId="101" xfId="47" applyFont="1" applyFill="1" applyBorder="1" applyAlignment="1">
      <alignment horizontal="center" vertical="center" wrapText="1"/>
    </xf>
    <xf numFmtId="0" fontId="35" fillId="40" borderId="35" xfId="47" applyFont="1" applyFill="1" applyBorder="1" applyAlignment="1">
      <alignment horizontal="center" vertical="center" wrapText="1"/>
    </xf>
    <xf numFmtId="0" fontId="35" fillId="40" borderId="154" xfId="47" applyFont="1" applyFill="1" applyBorder="1" applyAlignment="1">
      <alignment horizontal="center" vertical="center" wrapText="1"/>
    </xf>
    <xf numFmtId="0" fontId="35" fillId="40" borderId="41" xfId="47" applyFont="1" applyFill="1" applyBorder="1" applyAlignment="1">
      <alignment horizontal="center" vertical="center" wrapText="1"/>
    </xf>
    <xf numFmtId="167" fontId="29" fillId="0" borderId="169" xfId="46" applyFont="1" applyFill="1" applyBorder="1" applyAlignment="1">
      <alignment horizontal="center" vertical="center"/>
    </xf>
    <xf numFmtId="9" fontId="29" fillId="24" borderId="138" xfId="46" applyNumberFormat="1" applyFont="1" applyFill="1" applyBorder="1" applyAlignment="1">
      <alignment horizontal="center" vertical="center"/>
    </xf>
    <xf numFmtId="0" fontId="28" fillId="25" borderId="71" xfId="47" applyFont="1" applyFill="1" applyBorder="1" applyAlignment="1">
      <alignment vertical="center"/>
    </xf>
    <xf numFmtId="0" fontId="29" fillId="0" borderId="99" xfId="50" applyNumberFormat="1" applyFont="1" applyFill="1" applyBorder="1" applyAlignment="1">
      <alignment horizontal="center" vertical="center"/>
    </xf>
    <xf numFmtId="44" fontId="28" fillId="25" borderId="94" xfId="47" applyNumberFormat="1" applyFont="1" applyFill="1" applyBorder="1" applyAlignment="1">
      <alignment vertical="center"/>
    </xf>
    <xf numFmtId="44" fontId="28" fillId="25" borderId="64" xfId="47" applyNumberFormat="1" applyFont="1" applyFill="1" applyBorder="1" applyAlignment="1">
      <alignment vertical="center"/>
    </xf>
    <xf numFmtId="44" fontId="28" fillId="25" borderId="64" xfId="48" applyNumberFormat="1" applyFont="1" applyFill="1" applyBorder="1" applyAlignment="1">
      <alignment horizontal="center" vertical="center"/>
    </xf>
    <xf numFmtId="0" fontId="29" fillId="0" borderId="168" xfId="47" applyFont="1" applyFill="1" applyBorder="1" applyAlignment="1">
      <alignment vertical="center"/>
    </xf>
    <xf numFmtId="1" fontId="32" fillId="46" borderId="170" xfId="0" applyNumberFormat="1" applyFont="1" applyFill="1" applyBorder="1" applyAlignment="1">
      <alignment horizontal="center" vertical="center"/>
    </xf>
    <xf numFmtId="0" fontId="29" fillId="0" borderId="175" xfId="0" applyFont="1" applyBorder="1" applyAlignment="1" applyProtection="1">
      <alignment horizontal="center" vertical="center"/>
    </xf>
    <xf numFmtId="166" fontId="29" fillId="0" borderId="157" xfId="50" applyFont="1" applyBorder="1" applyAlignment="1" applyProtection="1">
      <alignment vertical="center"/>
    </xf>
    <xf numFmtId="166" fontId="29" fillId="0" borderId="0" xfId="49" applyNumberFormat="1" applyFont="1" applyAlignment="1" applyProtection="1">
      <alignment vertical="center"/>
    </xf>
    <xf numFmtId="10" fontId="29" fillId="0" borderId="175" xfId="0" applyNumberFormat="1" applyFont="1" applyBorder="1" applyAlignment="1" applyProtection="1">
      <alignment horizontal="center" vertical="center"/>
    </xf>
    <xf numFmtId="10" fontId="29" fillId="0" borderId="175" xfId="51" applyNumberFormat="1" applyFont="1" applyBorder="1" applyAlignment="1" applyProtection="1">
      <alignment horizontal="center" vertical="center"/>
    </xf>
    <xf numFmtId="10" fontId="29" fillId="0" borderId="87" xfId="51" applyNumberFormat="1" applyFont="1" applyBorder="1" applyAlignment="1" applyProtection="1">
      <alignment horizontal="center" vertical="center"/>
    </xf>
    <xf numFmtId="170" fontId="29" fillId="0" borderId="93" xfId="50" applyNumberFormat="1" applyFont="1" applyBorder="1" applyAlignment="1" applyProtection="1">
      <alignment vertical="center"/>
    </xf>
    <xf numFmtId="44" fontId="29" fillId="0" borderId="11" xfId="49" applyNumberFormat="1" applyFont="1" applyBorder="1" applyAlignment="1" applyProtection="1">
      <alignment horizontal="center" vertical="center"/>
    </xf>
    <xf numFmtId="0" fontId="29" fillId="0" borderId="175" xfId="49" applyNumberFormat="1" applyFont="1" applyBorder="1" applyAlignment="1" applyProtection="1">
      <alignment horizontal="center" vertical="center"/>
    </xf>
    <xf numFmtId="44" fontId="29" fillId="0" borderId="152" xfId="0" applyNumberFormat="1" applyFont="1" applyBorder="1" applyAlignment="1" applyProtection="1">
      <alignment horizontal="center" vertical="center"/>
    </xf>
    <xf numFmtId="170" fontId="28" fillId="33" borderId="157" xfId="49" applyNumberFormat="1" applyFont="1" applyFill="1" applyBorder="1" applyAlignment="1" applyProtection="1">
      <alignment horizontal="right" vertical="center"/>
    </xf>
    <xf numFmtId="170" fontId="29" fillId="0" borderId="157" xfId="50" applyNumberFormat="1" applyFont="1" applyBorder="1" applyAlignment="1" applyProtection="1">
      <alignment vertical="center"/>
    </xf>
    <xf numFmtId="170" fontId="29" fillId="0" borderId="153" xfId="50" applyNumberFormat="1" applyFont="1" applyBorder="1" applyAlignment="1" applyProtection="1">
      <alignment vertical="center"/>
    </xf>
    <xf numFmtId="170" fontId="28" fillId="32" borderId="153" xfId="49" applyNumberFormat="1" applyFont="1" applyFill="1" applyBorder="1" applyAlignment="1" applyProtection="1">
      <alignment horizontal="right" vertical="center"/>
    </xf>
    <xf numFmtId="10" fontId="29" fillId="0" borderId="175" xfId="35" applyNumberFormat="1" applyFont="1" applyFill="1" applyBorder="1" applyAlignment="1" applyProtection="1">
      <alignment horizontal="center" vertical="center"/>
    </xf>
    <xf numFmtId="10" fontId="29" fillId="0" borderId="0" xfId="49" applyNumberFormat="1" applyFont="1"/>
    <xf numFmtId="10" fontId="29" fillId="0" borderId="175" xfId="35" applyNumberFormat="1" applyFont="1" applyBorder="1" applyAlignment="1" applyProtection="1">
      <alignment horizontal="center" vertical="center"/>
    </xf>
    <xf numFmtId="10" fontId="28" fillId="0" borderId="87" xfId="35" applyNumberFormat="1" applyFont="1" applyBorder="1" applyAlignment="1" applyProtection="1">
      <alignment horizontal="center" vertical="center"/>
    </xf>
    <xf numFmtId="170" fontId="28" fillId="0" borderId="153" xfId="50" applyNumberFormat="1" applyFont="1" applyBorder="1" applyAlignment="1" applyProtection="1">
      <alignment vertical="center"/>
    </xf>
    <xf numFmtId="10" fontId="28" fillId="32" borderId="91" xfId="49" applyNumberFormat="1" applyFont="1" applyFill="1" applyBorder="1" applyAlignment="1" applyProtection="1">
      <alignment horizontal="center" vertical="center"/>
    </xf>
    <xf numFmtId="8" fontId="28" fillId="32" borderId="157" xfId="31" applyNumberFormat="1" applyFont="1" applyFill="1" applyBorder="1" applyAlignment="1" applyProtection="1">
      <alignment vertical="center"/>
    </xf>
    <xf numFmtId="0" fontId="28" fillId="0" borderId="0" xfId="49" applyFont="1" applyFill="1" applyBorder="1" applyAlignment="1" applyProtection="1">
      <alignment vertical="center"/>
    </xf>
    <xf numFmtId="1" fontId="30" fillId="0" borderId="11" xfId="49" applyNumberFormat="1" applyFont="1" applyFill="1" applyBorder="1" applyAlignment="1" applyProtection="1">
      <alignment vertical="center"/>
    </xf>
    <xf numFmtId="171" fontId="28" fillId="0" borderId="157" xfId="31" applyNumberFormat="1" applyFont="1" applyFill="1" applyBorder="1" applyAlignment="1" applyProtection="1">
      <alignment horizontal="center" vertical="center"/>
    </xf>
    <xf numFmtId="8" fontId="28" fillId="37" borderId="157" xfId="31" applyNumberFormat="1" applyFont="1" applyFill="1" applyBorder="1" applyAlignment="1" applyProtection="1">
      <alignment vertical="center"/>
    </xf>
    <xf numFmtId="0" fontId="28" fillId="47" borderId="106" xfId="0" applyFont="1" applyFill="1" applyBorder="1" applyAlignment="1">
      <alignment vertical="center"/>
    </xf>
    <xf numFmtId="43" fontId="33" fillId="42" borderId="180" xfId="0" applyNumberFormat="1" applyFont="1" applyFill="1" applyBorder="1"/>
    <xf numFmtId="44" fontId="29" fillId="0" borderId="11" xfId="49" applyNumberFormat="1" applyFont="1" applyFill="1" applyBorder="1" applyAlignment="1" applyProtection="1">
      <alignment horizontal="center" vertical="center"/>
    </xf>
    <xf numFmtId="44" fontId="29" fillId="0" borderId="11" xfId="0" applyNumberFormat="1" applyFont="1" applyFill="1" applyBorder="1" applyAlignment="1" applyProtection="1">
      <alignment horizontal="center" vertical="center"/>
    </xf>
    <xf numFmtId="10" fontId="29" fillId="0" borderId="87" xfId="35" applyNumberFormat="1" applyFont="1" applyFill="1" applyBorder="1" applyAlignment="1" applyProtection="1">
      <alignment horizontal="center" vertical="center"/>
    </xf>
    <xf numFmtId="166" fontId="33" fillId="16" borderId="61" xfId="0" applyNumberFormat="1" applyFont="1" applyFill="1" applyBorder="1" applyAlignment="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3" fillId="42" borderId="178" xfId="0" applyFont="1" applyFill="1" applyBorder="1" applyProtection="1"/>
    <xf numFmtId="0" fontId="33" fillId="42" borderId="178" xfId="0"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16" borderId="32" xfId="0" applyFont="1" applyFill="1" applyBorder="1"/>
    <xf numFmtId="0" fontId="33" fillId="43" borderId="71" xfId="0" applyFont="1" applyFill="1" applyBorder="1"/>
    <xf numFmtId="2" fontId="32" fillId="0" borderId="184" xfId="0" applyNumberFormat="1" applyFont="1" applyBorder="1"/>
    <xf numFmtId="2" fontId="33" fillId="0" borderId="185" xfId="0" applyNumberFormat="1" applyFont="1" applyBorder="1"/>
    <xf numFmtId="3" fontId="33" fillId="42" borderId="33" xfId="0" applyNumberFormat="1" applyFont="1" applyFill="1" applyBorder="1"/>
    <xf numFmtId="3" fontId="33" fillId="42" borderId="103" xfId="0" applyNumberFormat="1" applyFont="1" applyFill="1" applyBorder="1"/>
    <xf numFmtId="0" fontId="33" fillId="16" borderId="61" xfId="0" applyFont="1" applyFill="1" applyBorder="1" applyAlignment="1">
      <alignment horizontal="right" vertical="center"/>
    </xf>
    <xf numFmtId="0" fontId="33" fillId="16" borderId="188" xfId="0" applyFont="1" applyFill="1" applyBorder="1" applyAlignment="1">
      <alignment vertical="center"/>
    </xf>
    <xf numFmtId="0" fontId="33" fillId="0" borderId="187" xfId="0" applyNumberFormat="1" applyFont="1" applyBorder="1"/>
    <xf numFmtId="166" fontId="33" fillId="0" borderId="187" xfId="0" applyNumberFormat="1" applyFont="1" applyBorder="1"/>
    <xf numFmtId="0" fontId="29" fillId="0" borderId="183" xfId="0" applyFont="1" applyBorder="1" applyAlignment="1">
      <alignment horizontal="center"/>
    </xf>
    <xf numFmtId="0" fontId="29" fillId="0" borderId="183" xfId="49" applyFont="1" applyBorder="1" applyAlignment="1">
      <alignment horizontal="center"/>
    </xf>
    <xf numFmtId="0" fontId="33" fillId="16" borderId="183" xfId="0" applyFont="1" applyFill="1" applyBorder="1" applyAlignment="1">
      <alignment vertical="center"/>
    </xf>
    <xf numFmtId="0" fontId="33" fillId="16" borderId="162" xfId="0" applyFont="1" applyFill="1" applyBorder="1" applyAlignment="1">
      <alignment vertical="center"/>
    </xf>
    <xf numFmtId="166" fontId="33" fillId="0" borderId="186" xfId="0" applyNumberFormat="1" applyFont="1" applyBorder="1"/>
    <xf numFmtId="0" fontId="33" fillId="43" borderId="189" xfId="0" applyFont="1" applyFill="1" applyBorder="1"/>
    <xf numFmtId="0" fontId="32" fillId="0" borderId="193" xfId="0" applyFont="1" applyBorder="1"/>
    <xf numFmtId="166" fontId="33" fillId="16" borderId="188" xfId="0" applyNumberFormat="1" applyFont="1" applyFill="1" applyBorder="1" applyAlignment="1">
      <alignment vertical="center"/>
    </xf>
    <xf numFmtId="0" fontId="33" fillId="43" borderId="189" xfId="0" applyFont="1" applyFill="1" applyBorder="1" applyAlignment="1">
      <alignment vertical="center"/>
    </xf>
    <xf numFmtId="0" fontId="33" fillId="43" borderId="191" xfId="0" applyFont="1" applyFill="1" applyBorder="1"/>
    <xf numFmtId="0" fontId="32" fillId="43" borderId="192" xfId="0" applyFont="1" applyFill="1" applyBorder="1" applyAlignment="1">
      <alignment horizontal="right" vertical="center"/>
    </xf>
    <xf numFmtId="4" fontId="32" fillId="0" borderId="194" xfId="0" applyNumberFormat="1" applyFont="1" applyBorder="1"/>
    <xf numFmtId="0" fontId="33" fillId="0" borderId="187" xfId="0" applyFont="1" applyBorder="1"/>
    <xf numFmtId="176" fontId="33" fillId="0" borderId="187" xfId="0" applyNumberFormat="1" applyFont="1" applyBorder="1"/>
    <xf numFmtId="2" fontId="32" fillId="0" borderId="193" xfId="0" applyNumberFormat="1" applyFont="1" applyBorder="1"/>
    <xf numFmtId="0" fontId="33" fillId="16" borderId="197" xfId="0" applyFont="1" applyFill="1" applyBorder="1" applyAlignment="1">
      <alignment horizontal="right" vertical="center"/>
    </xf>
    <xf numFmtId="166" fontId="33" fillId="0" borderId="52" xfId="65" applyFont="1" applyFill="1" applyBorder="1" applyAlignment="1" applyProtection="1"/>
    <xf numFmtId="0" fontId="35" fillId="40" borderId="94"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166" fontId="33" fillId="0" borderId="199" xfId="0" applyNumberFormat="1" applyFont="1" applyFill="1" applyBorder="1" applyAlignment="1">
      <alignment horizontal="center"/>
    </xf>
    <xf numFmtId="174" fontId="32" fillId="50" borderId="64" xfId="0" applyNumberFormat="1" applyFont="1" applyFill="1" applyBorder="1"/>
    <xf numFmtId="0" fontId="34" fillId="42" borderId="183" xfId="0" applyFont="1" applyFill="1" applyBorder="1" applyAlignment="1" applyProtection="1">
      <alignment horizontal="left"/>
    </xf>
    <xf numFmtId="0" fontId="35" fillId="40" borderId="218" xfId="47" applyFont="1" applyFill="1" applyBorder="1" applyAlignment="1">
      <alignment horizontal="center" vertical="center" wrapText="1"/>
    </xf>
    <xf numFmtId="0" fontId="35" fillId="40" borderId="219" xfId="47" applyFont="1" applyFill="1" applyBorder="1" applyAlignment="1">
      <alignment horizontal="center" vertical="center" wrapText="1"/>
    </xf>
    <xf numFmtId="0" fontId="35" fillId="40" borderId="220" xfId="47" applyFont="1" applyFill="1" applyBorder="1" applyAlignment="1">
      <alignment horizontal="center" vertical="center" wrapText="1"/>
    </xf>
    <xf numFmtId="0" fontId="29" fillId="0" borderId="212" xfId="0" applyFont="1" applyFill="1" applyBorder="1"/>
    <xf numFmtId="0" fontId="29" fillId="0" borderId="213" xfId="0" applyFont="1" applyFill="1" applyBorder="1" applyAlignment="1">
      <alignment horizontal="center" vertical="center"/>
    </xf>
    <xf numFmtId="44" fontId="29" fillId="0" borderId="217" xfId="50" applyNumberFormat="1" applyFont="1" applyFill="1" applyBorder="1" applyAlignment="1">
      <alignment horizontal="center" vertical="center"/>
    </xf>
    <xf numFmtId="0" fontId="29" fillId="0" borderId="212" xfId="50" applyNumberFormat="1" applyFont="1" applyFill="1" applyBorder="1" applyAlignment="1">
      <alignment horizontal="center" vertical="center"/>
    </xf>
    <xf numFmtId="44" fontId="29" fillId="0" borderId="206" xfId="50" applyNumberFormat="1" applyFont="1" applyFill="1" applyBorder="1" applyAlignment="1">
      <alignment horizontal="center" vertical="center"/>
    </xf>
    <xf numFmtId="0" fontId="29" fillId="0" borderId="208" xfId="50" applyNumberFormat="1" applyFont="1" applyFill="1" applyBorder="1" applyAlignment="1">
      <alignment horizontal="center" vertical="center"/>
    </xf>
    <xf numFmtId="44" fontId="29" fillId="24" borderId="209" xfId="48" applyNumberFormat="1" applyFont="1" applyFill="1" applyBorder="1" applyAlignment="1">
      <alignment horizontal="center" vertical="center"/>
    </xf>
    <xf numFmtId="0" fontId="29" fillId="0" borderId="207" xfId="0" applyFont="1" applyFill="1" applyBorder="1"/>
    <xf numFmtId="0" fontId="29" fillId="0" borderId="212" xfId="0" applyFont="1" applyFill="1" applyBorder="1" applyAlignment="1">
      <alignment wrapText="1"/>
    </xf>
    <xf numFmtId="0" fontId="29" fillId="0" borderId="221" xfId="0" applyFont="1" applyFill="1" applyBorder="1"/>
    <xf numFmtId="0" fontId="29" fillId="0" borderId="222" xfId="0" applyFont="1" applyFill="1" applyBorder="1" applyAlignment="1">
      <alignment horizontal="center" vertical="center"/>
    </xf>
    <xf numFmtId="44" fontId="29" fillId="0" borderId="205" xfId="50" applyNumberFormat="1" applyFont="1" applyFill="1" applyBorder="1" applyAlignment="1">
      <alignment horizontal="center" vertical="center"/>
    </xf>
    <xf numFmtId="0" fontId="29" fillId="0" borderId="218" xfId="50" applyNumberFormat="1" applyFont="1" applyFill="1" applyBorder="1" applyAlignment="1">
      <alignment horizontal="center" vertical="center"/>
    </xf>
    <xf numFmtId="0" fontId="29" fillId="0" borderId="220" xfId="50" applyNumberFormat="1" applyFont="1" applyFill="1" applyBorder="1" applyAlignment="1">
      <alignment horizontal="center" vertical="center"/>
    </xf>
    <xf numFmtId="44" fontId="29" fillId="24" borderId="219" xfId="48" applyNumberFormat="1" applyFont="1" applyFill="1" applyBorder="1" applyAlignment="1">
      <alignment horizontal="center" vertical="center"/>
    </xf>
    <xf numFmtId="0" fontId="28" fillId="25" borderId="210" xfId="47" applyFont="1" applyFill="1" applyBorder="1" applyAlignment="1">
      <alignment vertical="center"/>
    </xf>
    <xf numFmtId="0" fontId="28" fillId="25" borderId="210" xfId="47" applyFont="1" applyFill="1" applyBorder="1" applyAlignment="1">
      <alignment horizontal="center" vertical="center"/>
    </xf>
    <xf numFmtId="44" fontId="28" fillId="25" borderId="196" xfId="47" applyNumberFormat="1" applyFont="1" applyFill="1" applyBorder="1" applyAlignment="1">
      <alignment vertical="center"/>
    </xf>
    <xf numFmtId="44" fontId="28" fillId="25" borderId="196" xfId="48" applyNumberFormat="1" applyFont="1" applyFill="1" applyBorder="1" applyAlignment="1">
      <alignment horizontal="center" vertical="center"/>
    </xf>
    <xf numFmtId="0" fontId="29" fillId="0" borderId="218" xfId="0" applyFont="1" applyFill="1" applyBorder="1"/>
    <xf numFmtId="44" fontId="29" fillId="0" borderId="223" xfId="50" applyNumberFormat="1" applyFont="1" applyFill="1" applyBorder="1" applyAlignment="1">
      <alignment horizontal="center" vertical="center"/>
    </xf>
    <xf numFmtId="0" fontId="29" fillId="61" borderId="159" xfId="50" applyNumberFormat="1" applyFont="1" applyFill="1" applyBorder="1" applyAlignment="1">
      <alignment horizontal="center" vertical="center"/>
    </xf>
    <xf numFmtId="0" fontId="29" fillId="61" borderId="195" xfId="50" applyNumberFormat="1" applyFont="1" applyFill="1" applyBorder="1" applyAlignment="1">
      <alignment horizontal="center" vertical="center"/>
    </xf>
    <xf numFmtId="174" fontId="32" fillId="54" borderId="59" xfId="0" applyNumberFormat="1" applyFont="1" applyFill="1" applyBorder="1"/>
    <xf numFmtId="174" fontId="32" fillId="59" borderId="203" xfId="0" applyNumberFormat="1" applyFont="1" applyFill="1" applyBorder="1"/>
    <xf numFmtId="174" fontId="32" fillId="59" borderId="64" xfId="0" applyNumberFormat="1" applyFont="1" applyFill="1" applyBorder="1"/>
    <xf numFmtId="0" fontId="29" fillId="24" borderId="214" xfId="47" applyFont="1" applyFill="1" applyBorder="1" applyAlignment="1">
      <alignment horizontal="center" vertical="center"/>
    </xf>
    <xf numFmtId="0" fontId="29" fillId="24" borderId="215" xfId="47" applyFont="1" applyFill="1" applyBorder="1" applyAlignment="1">
      <alignment horizontal="center" vertical="center"/>
    </xf>
    <xf numFmtId="0" fontId="29" fillId="24" borderId="181" xfId="47" applyFont="1" applyFill="1" applyBorder="1" applyAlignment="1">
      <alignment horizontal="center" vertical="center"/>
    </xf>
    <xf numFmtId="0" fontId="28" fillId="25" borderId="221" xfId="47" applyFont="1" applyFill="1" applyBorder="1" applyAlignment="1">
      <alignment horizontal="center" vertical="center"/>
    </xf>
    <xf numFmtId="44" fontId="28" fillId="25" borderId="219" xfId="47" applyNumberFormat="1" applyFont="1" applyFill="1" applyBorder="1" applyAlignment="1">
      <alignment horizontal="center" vertical="center"/>
    </xf>
    <xf numFmtId="0" fontId="28" fillId="25" borderId="21" xfId="33" applyFont="1" applyFill="1" applyBorder="1" applyAlignment="1">
      <alignment vertical="center"/>
    </xf>
    <xf numFmtId="167" fontId="28" fillId="25" borderId="219" xfId="46" applyFont="1" applyFill="1" applyBorder="1" applyAlignment="1">
      <alignment horizontal="center" vertical="center"/>
    </xf>
    <xf numFmtId="174" fontId="32" fillId="60" borderId="64" xfId="0" applyNumberFormat="1" applyFont="1" applyFill="1" applyBorder="1" applyAlignment="1">
      <alignment vertical="center"/>
    </xf>
    <xf numFmtId="174" fontId="32" fillId="59" borderId="203" xfId="0" applyNumberFormat="1" applyFont="1" applyFill="1" applyBorder="1" applyAlignment="1">
      <alignment vertical="center"/>
    </xf>
    <xf numFmtId="174" fontId="32" fillId="50" borderId="227" xfId="0" applyNumberFormat="1" applyFont="1" applyFill="1" applyBorder="1" applyAlignment="1"/>
    <xf numFmtId="174" fontId="32" fillId="66" borderId="228" xfId="0" applyNumberFormat="1" applyFont="1" applyFill="1" applyBorder="1"/>
    <xf numFmtId="174" fontId="32" fillId="52" borderId="203" xfId="0" applyNumberFormat="1" applyFont="1" applyFill="1" applyBorder="1" applyAlignment="1">
      <alignment vertical="center"/>
    </xf>
    <xf numFmtId="174" fontId="32" fillId="60" borderId="64" xfId="0" applyNumberFormat="1" applyFont="1" applyFill="1" applyBorder="1"/>
    <xf numFmtId="174" fontId="32" fillId="66" borderId="64" xfId="0" applyNumberFormat="1" applyFont="1" applyFill="1" applyBorder="1"/>
    <xf numFmtId="174" fontId="32" fillId="54" borderId="64" xfId="0" applyNumberFormat="1" applyFont="1" applyFill="1" applyBorder="1"/>
    <xf numFmtId="174" fontId="32" fillId="50" borderId="231" xfId="0" applyNumberFormat="1" applyFont="1" applyFill="1" applyBorder="1" applyAlignment="1"/>
    <xf numFmtId="174" fontId="32" fillId="52" borderId="93" xfId="0" applyNumberFormat="1" applyFont="1" applyFill="1" applyBorder="1" applyAlignment="1">
      <alignment vertical="center"/>
    </xf>
    <xf numFmtId="174" fontId="32" fillId="64" borderId="64" xfId="0" applyNumberFormat="1" applyFont="1" applyFill="1" applyBorder="1"/>
    <xf numFmtId="174" fontId="32" fillId="67" borderId="64" xfId="0" applyNumberFormat="1" applyFont="1" applyFill="1" applyBorder="1"/>
    <xf numFmtId="174" fontId="32" fillId="66" borderId="219" xfId="0" applyNumberFormat="1" applyFont="1" applyFill="1" applyBorder="1"/>
    <xf numFmtId="2" fontId="32" fillId="0" borderId="247" xfId="0" applyNumberFormat="1" applyFont="1" applyBorder="1"/>
    <xf numFmtId="166" fontId="33" fillId="0" borderId="33" xfId="0" applyNumberFormat="1" applyFont="1" applyFill="1" applyBorder="1"/>
    <xf numFmtId="0" fontId="33" fillId="16" borderId="61" xfId="0" applyNumberFormat="1" applyFont="1" applyFill="1" applyBorder="1" applyAlignment="1">
      <alignment vertical="center"/>
    </xf>
    <xf numFmtId="0" fontId="33" fillId="16" borderId="229" xfId="0" applyFont="1" applyFill="1" applyBorder="1" applyAlignment="1">
      <alignment vertical="center"/>
    </xf>
    <xf numFmtId="166" fontId="33" fillId="0" borderId="230" xfId="0" applyNumberFormat="1" applyFont="1" applyBorder="1"/>
    <xf numFmtId="2" fontId="33" fillId="0" borderId="248" xfId="0" applyNumberFormat="1" applyFont="1" applyBorder="1"/>
    <xf numFmtId="0" fontId="29" fillId="0" borderId="41" xfId="0" applyFont="1" applyFill="1" applyBorder="1" applyAlignment="1">
      <alignment wrapText="1"/>
    </xf>
    <xf numFmtId="0" fontId="29" fillId="24" borderId="49" xfId="50" applyNumberFormat="1" applyFont="1" applyFill="1" applyBorder="1" applyAlignment="1">
      <alignment horizontal="center" vertical="center"/>
    </xf>
    <xf numFmtId="0" fontId="29" fillId="0" borderId="41" xfId="0" applyFont="1" applyFill="1" applyBorder="1" applyAlignment="1">
      <alignment horizontal="left" wrapText="1"/>
    </xf>
    <xf numFmtId="0" fontId="35" fillId="40" borderId="153" xfId="47" applyFont="1" applyFill="1" applyBorder="1" applyAlignment="1">
      <alignment horizontal="center" vertical="center" wrapText="1"/>
    </xf>
    <xf numFmtId="0" fontId="28" fillId="25" borderId="71" xfId="47" applyFont="1" applyFill="1" applyBorder="1" applyAlignment="1">
      <alignment horizontal="center" vertical="center"/>
    </xf>
    <xf numFmtId="0" fontId="29" fillId="0" borderId="183" xfId="49" applyFont="1" applyFill="1" applyBorder="1"/>
    <xf numFmtId="0" fontId="35" fillId="40" borderId="153"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9" fontId="29" fillId="0" borderId="244" xfId="51" applyFont="1" applyFill="1" applyBorder="1" applyAlignment="1">
      <alignment horizontal="center" vertical="center"/>
    </xf>
    <xf numFmtId="9" fontId="29" fillId="0" borderId="254" xfId="51" applyFont="1" applyFill="1" applyBorder="1" applyAlignment="1">
      <alignment horizontal="center" vertical="center"/>
    </xf>
    <xf numFmtId="0" fontId="29" fillId="24" borderId="198" xfId="47" applyFont="1" applyFill="1" applyBorder="1" applyAlignment="1">
      <alignment horizontal="center" vertical="center"/>
    </xf>
    <xf numFmtId="0" fontId="29" fillId="24" borderId="178" xfId="47" applyFont="1" applyFill="1" applyBorder="1" applyAlignment="1">
      <alignment horizontal="center" vertical="center"/>
    </xf>
    <xf numFmtId="0" fontId="29" fillId="24" borderId="212" xfId="47" applyFont="1" applyFill="1" applyBorder="1" applyAlignment="1">
      <alignment horizontal="center" vertical="center"/>
    </xf>
    <xf numFmtId="0" fontId="29" fillId="24" borderId="250" xfId="47" applyFont="1" applyFill="1" applyBorder="1" applyAlignment="1">
      <alignment horizontal="center" vertical="center"/>
    </xf>
    <xf numFmtId="0" fontId="29" fillId="24" borderId="258" xfId="47" applyFont="1" applyFill="1" applyBorder="1" applyAlignment="1">
      <alignment horizontal="center" vertical="center"/>
    </xf>
    <xf numFmtId="0" fontId="29" fillId="24" borderId="243" xfId="47" applyFont="1" applyFill="1" applyBorder="1" applyAlignment="1">
      <alignment horizontal="center" vertical="center"/>
    </xf>
    <xf numFmtId="9" fontId="29" fillId="24" borderId="244" xfId="51" applyFont="1" applyFill="1" applyBorder="1" applyAlignment="1">
      <alignment horizontal="center" vertical="center"/>
    </xf>
    <xf numFmtId="9" fontId="29" fillId="24" borderId="254" xfId="51" applyFont="1" applyFill="1" applyBorder="1" applyAlignment="1">
      <alignment horizontal="center" vertical="center"/>
    </xf>
    <xf numFmtId="44" fontId="29" fillId="24" borderId="249" xfId="47" applyNumberFormat="1" applyFont="1" applyFill="1" applyBorder="1" applyAlignment="1">
      <alignment horizontal="center" vertical="center"/>
    </xf>
    <xf numFmtId="44" fontId="29" fillId="24" borderId="253" xfId="47" applyNumberFormat="1" applyFont="1" applyFill="1" applyBorder="1" applyAlignment="1">
      <alignment horizontal="center" vertical="center"/>
    </xf>
    <xf numFmtId="44" fontId="29" fillId="24" borderId="245" xfId="47" applyNumberFormat="1" applyFont="1" applyFill="1" applyBorder="1" applyAlignment="1">
      <alignment horizontal="center" vertical="center"/>
    </xf>
    <xf numFmtId="44" fontId="29" fillId="24" borderId="255" xfId="47" applyNumberFormat="1" applyFont="1" applyFill="1" applyBorder="1" applyAlignment="1">
      <alignment horizontal="center" vertical="center"/>
    </xf>
    <xf numFmtId="0" fontId="29" fillId="24" borderId="218" xfId="47" applyFont="1" applyFill="1" applyBorder="1" applyAlignment="1">
      <alignment horizontal="center" vertical="center"/>
    </xf>
    <xf numFmtId="9" fontId="29" fillId="24" borderId="65" xfId="51" applyFont="1" applyFill="1" applyBorder="1" applyAlignment="1">
      <alignment horizontal="center" vertical="center"/>
    </xf>
    <xf numFmtId="44" fontId="29" fillId="24" borderId="24" xfId="47" applyNumberFormat="1" applyFont="1" applyFill="1" applyBorder="1" applyAlignment="1">
      <alignment horizontal="center" vertical="center"/>
    </xf>
    <xf numFmtId="44" fontId="29" fillId="24" borderId="66" xfId="47" applyNumberFormat="1" applyFont="1" applyFill="1" applyBorder="1" applyAlignment="1">
      <alignment horizontal="center" vertical="center"/>
    </xf>
    <xf numFmtId="0" fontId="29" fillId="24" borderId="29" xfId="47" applyFont="1" applyFill="1" applyBorder="1" applyAlignment="1">
      <alignment horizontal="center" vertical="center"/>
    </xf>
    <xf numFmtId="0" fontId="28" fillId="25" borderId="210" xfId="33" applyFont="1" applyFill="1" applyBorder="1" applyAlignment="1">
      <alignment vertical="center"/>
    </xf>
    <xf numFmtId="167" fontId="28" fillId="25" borderId="64" xfId="46" applyFont="1" applyFill="1" applyBorder="1" applyAlignment="1">
      <alignment horizontal="center" vertical="center"/>
    </xf>
    <xf numFmtId="0" fontId="29" fillId="24" borderId="212" xfId="47" applyFont="1" applyFill="1" applyBorder="1" applyAlignment="1">
      <alignment horizontal="left" vertical="center"/>
    </xf>
    <xf numFmtId="0" fontId="29" fillId="24" borderId="218" xfId="47" applyFont="1" applyFill="1" applyBorder="1" applyAlignment="1">
      <alignment horizontal="left" vertical="center"/>
    </xf>
    <xf numFmtId="0" fontId="29" fillId="24" borderId="243" xfId="47" applyFont="1" applyFill="1" applyBorder="1" applyAlignment="1">
      <alignment horizontal="justify" vertical="center" wrapText="1"/>
    </xf>
    <xf numFmtId="9" fontId="29" fillId="0" borderId="65" xfId="51" applyFont="1" applyFill="1" applyBorder="1" applyAlignment="1">
      <alignment horizontal="center" vertical="center"/>
    </xf>
    <xf numFmtId="0" fontId="29" fillId="24" borderId="243" xfId="47" applyFont="1" applyFill="1" applyBorder="1" applyAlignment="1">
      <alignment horizontal="left" vertical="center"/>
    </xf>
    <xf numFmtId="44" fontId="29" fillId="24" borderId="245" xfId="64" applyFont="1" applyFill="1" applyBorder="1" applyAlignment="1">
      <alignment horizontal="center" vertical="center"/>
    </xf>
    <xf numFmtId="44" fontId="29" fillId="24" borderId="255" xfId="64" applyFont="1" applyFill="1" applyBorder="1" applyAlignment="1">
      <alignment horizontal="center" vertical="center"/>
    </xf>
    <xf numFmtId="44" fontId="29" fillId="24" borderId="249" xfId="64" applyFont="1" applyFill="1" applyBorder="1" applyAlignment="1">
      <alignment horizontal="center" vertical="center"/>
    </xf>
    <xf numFmtId="44" fontId="29" fillId="24" borderId="253" xfId="64" applyFont="1" applyFill="1" applyBorder="1" applyAlignment="1">
      <alignment horizontal="center" vertical="center"/>
    </xf>
    <xf numFmtId="0" fontId="29" fillId="0" borderId="216" xfId="49" applyFont="1" applyBorder="1" applyAlignment="1">
      <alignment horizontal="center"/>
    </xf>
    <xf numFmtId="0" fontId="42" fillId="0" borderId="49" xfId="0" applyFont="1" applyFill="1" applyBorder="1" applyAlignment="1">
      <alignment horizontal="left" vertical="center" wrapText="1"/>
    </xf>
    <xf numFmtId="0" fontId="42" fillId="48"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44" fontId="28" fillId="25" borderId="210" xfId="47" applyNumberFormat="1" applyFont="1" applyFill="1" applyBorder="1" applyAlignment="1">
      <alignment vertical="center"/>
    </xf>
    <xf numFmtId="0" fontId="28" fillId="61" borderId="241" xfId="50" applyNumberFormat="1" applyFont="1" applyFill="1" applyBorder="1" applyAlignment="1">
      <alignment horizontal="right" vertical="center"/>
    </xf>
    <xf numFmtId="44" fontId="29" fillId="0" borderId="234" xfId="50" applyNumberFormat="1" applyFont="1" applyFill="1" applyBorder="1" applyAlignment="1">
      <alignment horizontal="center" vertical="center"/>
    </xf>
    <xf numFmtId="0" fontId="29" fillId="0" borderId="44" xfId="50" applyNumberFormat="1" applyFont="1" applyFill="1" applyBorder="1" applyAlignment="1">
      <alignment horizontal="center" vertical="center"/>
    </xf>
    <xf numFmtId="44" fontId="28" fillId="25" borderId="241" xfId="47" applyNumberFormat="1" applyFont="1" applyFill="1" applyBorder="1" applyAlignment="1">
      <alignment vertical="center"/>
    </xf>
    <xf numFmtId="44" fontId="28" fillId="25" borderId="155" xfId="47" applyNumberFormat="1" applyFont="1" applyFill="1" applyBorder="1" applyAlignment="1">
      <alignment horizontal="center" vertical="center"/>
    </xf>
    <xf numFmtId="44" fontId="28" fillId="25" borderId="210" xfId="47" applyNumberFormat="1" applyFont="1" applyFill="1" applyBorder="1" applyAlignment="1">
      <alignment horizontal="center" vertical="center"/>
    </xf>
    <xf numFmtId="44" fontId="29" fillId="0" borderId="234" xfId="50" applyNumberFormat="1" applyFont="1" applyBorder="1" applyAlignment="1">
      <alignment horizontal="center" vertical="center"/>
    </xf>
    <xf numFmtId="44" fontId="29" fillId="0" borderId="245" xfId="50" applyNumberFormat="1" applyFont="1" applyBorder="1" applyAlignment="1">
      <alignment horizontal="center" vertical="center"/>
    </xf>
    <xf numFmtId="44" fontId="28" fillId="25" borderId="242" xfId="47" applyNumberFormat="1" applyFont="1" applyFill="1" applyBorder="1" applyAlignment="1">
      <alignment vertical="center"/>
    </xf>
    <xf numFmtId="44" fontId="29" fillId="24" borderId="234" xfId="47" applyNumberFormat="1" applyFont="1" applyFill="1" applyBorder="1" applyAlignment="1">
      <alignment horizontal="center" vertical="center"/>
    </xf>
    <xf numFmtId="44" fontId="29" fillId="24" borderId="245" xfId="46" applyNumberFormat="1" applyFont="1" applyFill="1" applyBorder="1" applyAlignment="1">
      <alignment vertical="center"/>
    </xf>
    <xf numFmtId="44" fontId="29" fillId="24" borderId="234" xfId="46" applyNumberFormat="1" applyFont="1" applyFill="1" applyBorder="1" applyAlignment="1">
      <alignment vertical="center"/>
    </xf>
    <xf numFmtId="0" fontId="29" fillId="24" borderId="243" xfId="48" applyNumberFormat="1" applyFont="1" applyFill="1" applyBorder="1" applyAlignment="1">
      <alignment horizontal="center" vertical="center"/>
    </xf>
    <xf numFmtId="0" fontId="29" fillId="24" borderId="41" xfId="48" applyNumberFormat="1" applyFont="1" applyFill="1" applyBorder="1" applyAlignment="1">
      <alignment horizontal="center" vertical="center"/>
    </xf>
    <xf numFmtId="0" fontId="29" fillId="24" borderId="163" xfId="48" applyNumberFormat="1" applyFont="1" applyFill="1" applyBorder="1" applyAlignment="1">
      <alignment horizontal="center" vertical="center"/>
    </xf>
    <xf numFmtId="0" fontId="29" fillId="0" borderId="243" xfId="50" applyNumberFormat="1" applyFont="1" applyBorder="1" applyAlignment="1">
      <alignment horizontal="center" vertical="center"/>
    </xf>
    <xf numFmtId="0" fontId="29" fillId="0" borderId="212" xfId="50" applyNumberFormat="1" applyFont="1" applyBorder="1" applyAlignment="1">
      <alignment horizontal="center" vertical="center"/>
    </xf>
    <xf numFmtId="0" fontId="29" fillId="0" borderId="44" xfId="50" applyNumberFormat="1" applyFont="1" applyBorder="1" applyAlignment="1">
      <alignment horizontal="center" vertical="center"/>
    </xf>
    <xf numFmtId="0" fontId="29" fillId="24" borderId="243" xfId="47" applyNumberFormat="1" applyFont="1" applyFill="1" applyBorder="1" applyAlignment="1">
      <alignment horizontal="center" vertical="center"/>
    </xf>
    <xf numFmtId="0" fontId="29" fillId="24" borderId="212" xfId="47" applyNumberFormat="1" applyFont="1" applyFill="1" applyBorder="1" applyAlignment="1">
      <alignment horizontal="center" vertical="center"/>
    </xf>
    <xf numFmtId="44" fontId="29" fillId="24" borderId="234" xfId="64" applyFont="1" applyFill="1" applyBorder="1" applyAlignment="1">
      <alignment horizontal="center" vertical="center"/>
    </xf>
    <xf numFmtId="44" fontId="29" fillId="24" borderId="153" xfId="48" applyNumberFormat="1" applyFont="1" applyFill="1" applyBorder="1" applyAlignment="1">
      <alignment horizontal="center" vertical="center"/>
    </xf>
    <xf numFmtId="44" fontId="29" fillId="24" borderId="164" xfId="48" applyNumberFormat="1" applyFont="1" applyFill="1" applyBorder="1" applyAlignment="1">
      <alignment horizontal="center" vertical="center"/>
    </xf>
    <xf numFmtId="44" fontId="29" fillId="24" borderId="170" xfId="48" applyNumberFormat="1" applyFont="1" applyFill="1" applyBorder="1" applyAlignment="1">
      <alignment horizontal="center" vertical="center"/>
    </xf>
    <xf numFmtId="44" fontId="29" fillId="24" borderId="153" xfId="64" applyFont="1" applyFill="1" applyBorder="1" applyAlignment="1">
      <alignment horizontal="center" vertical="center"/>
    </xf>
    <xf numFmtId="44" fontId="29" fillId="24" borderId="149" xfId="64" applyFont="1" applyFill="1" applyBorder="1" applyAlignment="1">
      <alignment horizontal="center" vertical="center"/>
    </xf>
    <xf numFmtId="44" fontId="29" fillId="24" borderId="93" xfId="64" applyFont="1" applyFill="1" applyBorder="1" applyAlignment="1">
      <alignment horizontal="center" vertical="center"/>
    </xf>
    <xf numFmtId="0" fontId="29" fillId="24" borderId="243" xfId="64" applyNumberFormat="1" applyFont="1" applyFill="1" applyBorder="1" applyAlignment="1">
      <alignment horizontal="center" vertical="center"/>
    </xf>
    <xf numFmtId="0" fontId="29" fillId="24" borderId="212" xfId="64" applyNumberFormat="1" applyFont="1" applyFill="1" applyBorder="1" applyAlignment="1">
      <alignment horizontal="center" vertical="center"/>
    </xf>
    <xf numFmtId="0" fontId="29" fillId="24" borderId="212" xfId="46" applyNumberFormat="1" applyFont="1" applyFill="1" applyBorder="1" applyAlignment="1">
      <alignment horizontal="center" vertical="center"/>
    </xf>
    <xf numFmtId="177" fontId="33" fillId="0" borderId="103" xfId="0" applyNumberFormat="1" applyFont="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43" borderId="246" xfId="0" applyFont="1" applyFill="1" applyBorder="1" applyAlignment="1">
      <alignment horizontal="right" vertical="center"/>
    </xf>
    <xf numFmtId="0" fontId="28" fillId="31" borderId="16" xfId="49" applyFont="1" applyFill="1" applyBorder="1" applyAlignment="1" applyProtection="1">
      <alignment horizontal="center" vertical="center"/>
    </xf>
    <xf numFmtId="0" fontId="29" fillId="0" borderId="0" xfId="49" applyFont="1" applyBorder="1" applyAlignment="1" applyProtection="1">
      <alignment vertical="center"/>
    </xf>
    <xf numFmtId="0" fontId="29" fillId="0" borderId="0" xfId="49" applyFont="1" applyFill="1" applyBorder="1" applyAlignment="1" applyProtection="1">
      <alignment vertical="center"/>
    </xf>
    <xf numFmtId="1" fontId="32" fillId="46" borderId="153" xfId="0" applyNumberFormat="1" applyFont="1" applyFill="1" applyBorder="1" applyAlignment="1">
      <alignment horizontal="center" vertical="center"/>
    </xf>
    <xf numFmtId="1" fontId="33" fillId="70" borderId="153" xfId="0" applyNumberFormat="1" applyFont="1" applyFill="1" applyBorder="1" applyAlignment="1">
      <alignment horizontal="center" vertical="center"/>
    </xf>
    <xf numFmtId="177" fontId="33" fillId="0" borderId="260" xfId="0" applyNumberFormat="1" applyFont="1" applyBorder="1"/>
    <xf numFmtId="166" fontId="33" fillId="0" borderId="199" xfId="0" applyNumberFormat="1" applyFont="1" applyBorder="1"/>
    <xf numFmtId="166" fontId="33" fillId="0" borderId="254" xfId="0" applyNumberFormat="1" applyFont="1" applyBorder="1"/>
    <xf numFmtId="0" fontId="33" fillId="0" borderId="260" xfId="0" applyNumberFormat="1" applyFont="1" applyBorder="1"/>
    <xf numFmtId="166" fontId="33" fillId="0" borderId="87" xfId="0" applyNumberFormat="1" applyFont="1" applyBorder="1"/>
    <xf numFmtId="0" fontId="33" fillId="0" borderId="254" xfId="0" applyNumberFormat="1" applyFont="1" applyBorder="1"/>
    <xf numFmtId="0" fontId="28" fillId="47" borderId="197" xfId="0" applyFont="1" applyFill="1" applyBorder="1" applyAlignment="1">
      <alignment vertical="center"/>
    </xf>
    <xf numFmtId="0" fontId="28" fillId="43" borderId="262" xfId="0" applyFont="1" applyFill="1" applyBorder="1" applyAlignment="1">
      <alignment horizontal="center" vertical="center" wrapText="1"/>
    </xf>
    <xf numFmtId="0" fontId="28" fillId="43" borderId="35" xfId="0" applyFont="1" applyFill="1" applyBorder="1" applyAlignment="1">
      <alignment horizontal="center" vertical="center" wrapText="1"/>
    </xf>
    <xf numFmtId="0" fontId="28" fillId="43" borderId="10" xfId="0" applyFont="1" applyFill="1" applyBorder="1" applyAlignment="1">
      <alignment horizontal="center" vertical="center" wrapText="1"/>
    </xf>
    <xf numFmtId="0" fontId="32" fillId="42" borderId="0" xfId="0" applyFont="1" applyFill="1" applyProtection="1"/>
    <xf numFmtId="0" fontId="32" fillId="0" borderId="200" xfId="0" applyFont="1" applyBorder="1" applyAlignment="1">
      <alignment vertical="center"/>
    </xf>
    <xf numFmtId="0" fontId="28" fillId="47" borderId="265" xfId="0" applyFont="1" applyFill="1" applyBorder="1" applyAlignment="1">
      <alignment vertical="center"/>
    </xf>
    <xf numFmtId="166" fontId="33" fillId="0" borderId="266" xfId="65" applyFont="1" applyFill="1" applyBorder="1" applyAlignment="1" applyProtection="1"/>
    <xf numFmtId="0" fontId="33" fillId="42" borderId="266" xfId="0" applyFont="1" applyFill="1" applyBorder="1"/>
    <xf numFmtId="43" fontId="33" fillId="42" borderId="266" xfId="0" applyNumberFormat="1" applyFont="1" applyFill="1" applyBorder="1"/>
    <xf numFmtId="0" fontId="28" fillId="47" borderId="267" xfId="0" applyFont="1" applyFill="1" applyBorder="1" applyAlignment="1">
      <alignment vertical="center"/>
    </xf>
    <xf numFmtId="3" fontId="33" fillId="42" borderId="263" xfId="0" applyNumberFormat="1" applyFont="1" applyFill="1" applyBorder="1"/>
    <xf numFmtId="43" fontId="33" fillId="42" borderId="263" xfId="0" applyNumberFormat="1" applyFont="1" applyFill="1" applyBorder="1"/>
    <xf numFmtId="166" fontId="33" fillId="0" borderId="263" xfId="65" applyFont="1" applyFill="1" applyBorder="1" applyAlignment="1" applyProtection="1"/>
    <xf numFmtId="0" fontId="33" fillId="42" borderId="263" xfId="0" applyFont="1" applyFill="1" applyBorder="1"/>
    <xf numFmtId="0" fontId="28" fillId="47" borderId="268" xfId="0" applyFont="1" applyFill="1" applyBorder="1" applyAlignment="1">
      <alignment vertical="center"/>
    </xf>
    <xf numFmtId="166" fontId="33" fillId="0" borderId="260" xfId="65" applyFont="1" applyFill="1" applyBorder="1" applyAlignment="1" applyProtection="1"/>
    <xf numFmtId="0" fontId="33" fillId="42" borderId="260" xfId="0" applyFont="1" applyFill="1" applyBorder="1"/>
    <xf numFmtId="1" fontId="32" fillId="46" borderId="245" xfId="0" applyNumberFormat="1" applyFont="1" applyFill="1" applyBorder="1" applyAlignment="1">
      <alignment horizontal="center" vertical="center"/>
    </xf>
    <xf numFmtId="1" fontId="32" fillId="46" borderId="234" xfId="0" applyNumberFormat="1" applyFont="1" applyFill="1" applyBorder="1" applyAlignment="1">
      <alignment horizontal="center" vertical="center"/>
    </xf>
    <xf numFmtId="1" fontId="32" fillId="46" borderId="269" xfId="0" applyNumberFormat="1" applyFont="1" applyFill="1" applyBorder="1" applyAlignment="1">
      <alignment horizontal="center" vertical="center"/>
    </xf>
    <xf numFmtId="1" fontId="32" fillId="46" borderId="257" xfId="0" applyNumberFormat="1" applyFont="1" applyFill="1" applyBorder="1" applyAlignment="1">
      <alignment horizontal="center" vertical="center"/>
    </xf>
    <xf numFmtId="0" fontId="33" fillId="42" borderId="183" xfId="0" applyFont="1" applyFill="1" applyBorder="1"/>
    <xf numFmtId="0" fontId="28" fillId="43" borderId="270" xfId="0" applyFont="1" applyFill="1" applyBorder="1" applyAlignment="1">
      <alignment horizontal="center" vertical="center" wrapText="1"/>
    </xf>
    <xf numFmtId="166" fontId="33" fillId="0" borderId="261" xfId="65" applyFont="1" applyFill="1" applyBorder="1" applyAlignment="1" applyProtection="1"/>
    <xf numFmtId="0" fontId="28" fillId="43" borderId="271" xfId="0" applyFont="1" applyFill="1" applyBorder="1" applyAlignment="1">
      <alignment horizontal="center" vertical="center"/>
    </xf>
    <xf numFmtId="0" fontId="28" fillId="43" borderId="272" xfId="0" applyFont="1" applyFill="1" applyBorder="1" applyAlignment="1">
      <alignment horizontal="center" vertical="center" wrapText="1"/>
    </xf>
    <xf numFmtId="0" fontId="32" fillId="16" borderId="273" xfId="0" applyFont="1" applyFill="1" applyBorder="1" applyAlignment="1">
      <alignment vertical="center"/>
    </xf>
    <xf numFmtId="0" fontId="32" fillId="16" borderId="274" xfId="0" applyFont="1" applyFill="1" applyBorder="1"/>
    <xf numFmtId="0" fontId="32" fillId="16" borderId="275" xfId="0" applyFont="1" applyFill="1" applyBorder="1"/>
    <xf numFmtId="177" fontId="33" fillId="0" borderId="276" xfId="0" applyNumberFormat="1" applyFont="1" applyBorder="1"/>
    <xf numFmtId="0" fontId="33" fillId="16" borderId="277" xfId="0" applyFont="1" applyFill="1" applyBorder="1" applyAlignment="1">
      <alignment vertical="center"/>
    </xf>
    <xf numFmtId="0" fontId="33" fillId="43" borderId="252" xfId="0" applyFont="1" applyFill="1" applyBorder="1"/>
    <xf numFmtId="0" fontId="33" fillId="0" borderId="276" xfId="0" applyNumberFormat="1" applyFont="1" applyBorder="1"/>
    <xf numFmtId="166" fontId="33" fillId="0" borderId="276" xfId="0" applyNumberFormat="1" applyFont="1" applyBorder="1"/>
    <xf numFmtId="0" fontId="32" fillId="0" borderId="247" xfId="0" applyFont="1" applyBorder="1"/>
    <xf numFmtId="0" fontId="32" fillId="16" borderId="279" xfId="0" applyFont="1" applyFill="1" applyBorder="1"/>
    <xf numFmtId="0" fontId="33" fillId="0" borderId="183" xfId="0" applyFont="1" applyBorder="1"/>
    <xf numFmtId="0" fontId="32" fillId="16" borderId="283" xfId="0" applyFont="1" applyFill="1" applyBorder="1" applyAlignment="1">
      <alignment vertical="center"/>
    </xf>
    <xf numFmtId="0" fontId="32" fillId="16" borderId="284" xfId="0" applyFont="1" applyFill="1" applyBorder="1"/>
    <xf numFmtId="0" fontId="32" fillId="16" borderId="285" xfId="0" applyFont="1" applyFill="1" applyBorder="1"/>
    <xf numFmtId="175" fontId="33" fillId="0" borderId="286" xfId="0" applyNumberFormat="1" applyFont="1" applyBorder="1" applyAlignment="1">
      <alignment horizontal="center"/>
    </xf>
    <xf numFmtId="0" fontId="33" fillId="0" borderId="286" xfId="0" applyFont="1" applyBorder="1"/>
    <xf numFmtId="176" fontId="33" fillId="0" borderId="286" xfId="0" applyNumberFormat="1" applyFont="1" applyBorder="1"/>
    <xf numFmtId="166" fontId="33" fillId="0" borderId="286" xfId="0" applyNumberFormat="1" applyFont="1" applyBorder="1"/>
    <xf numFmtId="4" fontId="33" fillId="0" borderId="287" xfId="0" applyNumberFormat="1" applyFont="1" applyBorder="1"/>
    <xf numFmtId="0" fontId="33" fillId="43" borderId="252" xfId="0" applyFont="1" applyFill="1" applyBorder="1" applyAlignment="1">
      <alignment vertical="center"/>
    </xf>
    <xf numFmtId="0" fontId="33" fillId="43" borderId="264" xfId="0" applyFont="1" applyFill="1" applyBorder="1"/>
    <xf numFmtId="4" fontId="32" fillId="0" borderId="288" xfId="0" applyNumberFormat="1" applyFont="1" applyBorder="1"/>
    <xf numFmtId="0" fontId="33" fillId="0" borderId="183" xfId="0" applyFont="1" applyFill="1" applyBorder="1"/>
    <xf numFmtId="0" fontId="28" fillId="43" borderId="289" xfId="0" applyFont="1" applyFill="1" applyBorder="1" applyAlignment="1">
      <alignment horizontal="center" vertical="center"/>
    </xf>
    <xf numFmtId="0" fontId="28" fillId="43" borderId="290" xfId="0" applyFont="1" applyFill="1" applyBorder="1" applyAlignment="1">
      <alignment horizontal="center" vertical="center" wrapText="1"/>
    </xf>
    <xf numFmtId="0" fontId="32" fillId="16" borderId="291" xfId="0" applyFont="1" applyFill="1" applyBorder="1" applyAlignment="1">
      <alignment vertical="center"/>
    </xf>
    <xf numFmtId="0" fontId="32" fillId="16" borderId="292" xfId="0" applyFont="1" applyFill="1" applyBorder="1"/>
    <xf numFmtId="0" fontId="33" fillId="0" borderId="294" xfId="0" applyNumberFormat="1" applyFont="1" applyBorder="1"/>
    <xf numFmtId="0" fontId="33" fillId="43" borderId="295" xfId="0" applyFont="1" applyFill="1" applyBorder="1"/>
    <xf numFmtId="174" fontId="32" fillId="0" borderId="276" xfId="0" applyNumberFormat="1" applyFont="1" applyFill="1" applyBorder="1"/>
    <xf numFmtId="174" fontId="32" fillId="0" borderId="304" xfId="0" applyNumberFormat="1" applyFont="1" applyFill="1" applyBorder="1"/>
    <xf numFmtId="0" fontId="32" fillId="16" borderId="305" xfId="0" applyFont="1" applyFill="1" applyBorder="1" applyAlignment="1">
      <alignment vertical="center"/>
    </xf>
    <xf numFmtId="174" fontId="32" fillId="50" borderId="306" xfId="0" applyNumberFormat="1" applyFont="1" applyFill="1" applyBorder="1" applyAlignment="1"/>
    <xf numFmtId="174" fontId="32" fillId="66" borderId="307" xfId="0" applyNumberFormat="1" applyFont="1" applyFill="1" applyBorder="1"/>
    <xf numFmtId="174" fontId="32" fillId="59" borderId="310" xfId="0" applyNumberFormat="1" applyFont="1" applyFill="1" applyBorder="1"/>
    <xf numFmtId="174" fontId="32" fillId="52" borderId="310" xfId="0" applyNumberFormat="1" applyFont="1" applyFill="1" applyBorder="1" applyAlignment="1">
      <alignment vertical="center"/>
    </xf>
    <xf numFmtId="0" fontId="49" fillId="42" borderId="0" xfId="0" applyFont="1" applyFill="1" applyProtection="1"/>
    <xf numFmtId="0" fontId="50" fillId="16" borderId="105" xfId="0" applyFont="1" applyFill="1" applyBorder="1" applyAlignment="1">
      <alignment vertical="center"/>
    </xf>
    <xf numFmtId="174" fontId="50" fillId="0" borderId="33" xfId="0" applyNumberFormat="1" applyFont="1" applyFill="1" applyBorder="1" applyAlignment="1">
      <alignment horizontal="right"/>
    </xf>
    <xf numFmtId="166" fontId="50" fillId="0" borderId="33" xfId="0" applyNumberFormat="1" applyFont="1" applyFill="1" applyBorder="1" applyAlignment="1">
      <alignment horizontal="center"/>
    </xf>
    <xf numFmtId="174" fontId="50" fillId="0" borderId="103" xfId="0" applyNumberFormat="1" applyFont="1" applyFill="1" applyBorder="1"/>
    <xf numFmtId="174" fontId="50" fillId="0" borderId="104" xfId="0" applyNumberFormat="1" applyFont="1" applyFill="1" applyBorder="1"/>
    <xf numFmtId="0" fontId="49" fillId="42" borderId="35" xfId="0" applyFont="1" applyFill="1" applyBorder="1" applyProtection="1"/>
    <xf numFmtId="0" fontId="51" fillId="0" borderId="0" xfId="0" applyFont="1"/>
    <xf numFmtId="1" fontId="33" fillId="70" borderId="310" xfId="0" applyNumberFormat="1" applyFont="1" applyFill="1" applyBorder="1" applyAlignment="1">
      <alignment horizontal="center" vertical="center"/>
    </xf>
    <xf numFmtId="1" fontId="33" fillId="41" borderId="310" xfId="0" applyNumberFormat="1" applyFont="1" applyFill="1" applyBorder="1" applyAlignment="1">
      <alignment horizontal="center" vertical="center"/>
    </xf>
    <xf numFmtId="1" fontId="0" fillId="0" borderId="0" xfId="0" applyNumberFormat="1"/>
    <xf numFmtId="0" fontId="29" fillId="24" borderId="243" xfId="46" applyNumberFormat="1" applyFont="1" applyFill="1" applyBorder="1" applyAlignment="1">
      <alignment horizontal="center" vertical="center"/>
    </xf>
    <xf numFmtId="0" fontId="29" fillId="24" borderId="315" xfId="50" applyNumberFormat="1" applyFont="1" applyFill="1" applyBorder="1" applyAlignment="1">
      <alignment horizontal="center" vertical="center"/>
    </xf>
    <xf numFmtId="1" fontId="32" fillId="46" borderId="307" xfId="0" applyNumberFormat="1" applyFont="1" applyFill="1" applyBorder="1" applyAlignment="1">
      <alignment horizontal="center" vertical="center"/>
    </xf>
    <xf numFmtId="0" fontId="29" fillId="0" borderId="0" xfId="49" applyFont="1" applyFill="1" applyBorder="1"/>
    <xf numFmtId="0" fontId="28" fillId="0" borderId="150" xfId="49" applyFont="1" applyFill="1" applyBorder="1" applyAlignment="1" applyProtection="1">
      <alignment horizontal="center" vertical="center"/>
    </xf>
    <xf numFmtId="0" fontId="28" fillId="74" borderId="315" xfId="49" applyFont="1" applyFill="1" applyBorder="1" applyAlignment="1" applyProtection="1">
      <alignment horizontal="center" vertical="center"/>
    </xf>
    <xf numFmtId="0" fontId="28" fillId="74" borderId="314" xfId="49" applyFont="1" applyFill="1" applyBorder="1" applyAlignment="1" applyProtection="1">
      <alignment horizontal="center" vertical="center"/>
    </xf>
    <xf numFmtId="166" fontId="28" fillId="74" borderId="316" xfId="50" applyFont="1" applyFill="1" applyBorder="1" applyAlignment="1" applyProtection="1">
      <alignment horizontal="center" vertical="center"/>
    </xf>
    <xf numFmtId="0" fontId="29" fillId="0" borderId="183" xfId="0" applyFont="1" applyFill="1" applyBorder="1" applyAlignment="1">
      <alignment horizontal="center"/>
    </xf>
    <xf numFmtId="0" fontId="29" fillId="0" borderId="58" xfId="0" applyFont="1" applyFill="1" applyBorder="1" applyAlignment="1" applyProtection="1">
      <alignment horizontal="center" vertical="center"/>
    </xf>
    <xf numFmtId="166" fontId="29" fillId="0" borderId="59" xfId="50" applyFont="1" applyFill="1" applyBorder="1" applyAlignment="1" applyProtection="1">
      <alignment vertical="center"/>
    </xf>
    <xf numFmtId="166" fontId="29" fillId="0" borderId="0" xfId="49" applyNumberFormat="1" applyFont="1" applyFill="1" applyBorder="1" applyAlignment="1" applyProtection="1">
      <alignment vertical="center"/>
    </xf>
    <xf numFmtId="10" fontId="29" fillId="0" borderId="58" xfId="0" applyNumberFormat="1" applyFont="1" applyFill="1" applyBorder="1" applyAlignment="1" applyProtection="1">
      <alignment horizontal="center" vertical="center"/>
    </xf>
    <xf numFmtId="166" fontId="28" fillId="75" borderId="316" xfId="50" applyFont="1" applyFill="1" applyBorder="1" applyAlignment="1" applyProtection="1">
      <alignment vertical="center"/>
    </xf>
    <xf numFmtId="169" fontId="29" fillId="0" borderId="0" xfId="49" applyNumberFormat="1" applyFont="1" applyFill="1" applyBorder="1" applyAlignment="1" applyProtection="1">
      <alignment vertical="center"/>
    </xf>
    <xf numFmtId="0" fontId="29" fillId="0" borderId="216" xfId="0" applyFont="1" applyFill="1" applyBorder="1" applyAlignment="1">
      <alignment horizontal="center"/>
    </xf>
    <xf numFmtId="170" fontId="29" fillId="0" borderId="35" xfId="50" applyNumberFormat="1" applyFont="1" applyFill="1" applyBorder="1" applyAlignment="1" applyProtection="1">
      <alignment vertical="center"/>
    </xf>
    <xf numFmtId="0" fontId="29" fillId="0" borderId="41" xfId="0" applyFont="1" applyFill="1" applyBorder="1" applyAlignment="1">
      <alignment horizontal="center"/>
    </xf>
    <xf numFmtId="10" fontId="29" fillId="0" borderId="87" xfId="51" applyNumberFormat="1" applyFont="1" applyFill="1" applyBorder="1" applyAlignment="1" applyProtection="1">
      <alignment horizontal="center" vertical="center"/>
    </xf>
    <xf numFmtId="170" fontId="29" fillId="0" borderId="93" xfId="50" applyNumberFormat="1" applyFont="1" applyFill="1" applyBorder="1" applyAlignment="1" applyProtection="1">
      <alignment vertical="center"/>
    </xf>
    <xf numFmtId="0" fontId="29" fillId="0" borderId="183" xfId="0" applyFont="1" applyFill="1" applyBorder="1"/>
    <xf numFmtId="10" fontId="28" fillId="0" borderId="312" xfId="51" applyNumberFormat="1" applyFont="1" applyFill="1" applyBorder="1" applyAlignment="1" applyProtection="1">
      <alignment horizontal="center" vertical="center"/>
    </xf>
    <xf numFmtId="0" fontId="29" fillId="0" borderId="315" xfId="0" applyFont="1" applyFill="1" applyBorder="1" applyAlignment="1" applyProtection="1">
      <alignment horizontal="center" vertical="center"/>
    </xf>
    <xf numFmtId="0" fontId="29" fillId="0" borderId="321" xfId="0" applyFont="1" applyFill="1" applyBorder="1" applyAlignment="1" applyProtection="1">
      <alignment vertical="center"/>
    </xf>
    <xf numFmtId="0" fontId="29" fillId="0" borderId="312" xfId="0" applyFont="1" applyFill="1" applyBorder="1" applyAlignment="1" applyProtection="1">
      <alignment vertical="center"/>
    </xf>
    <xf numFmtId="10" fontId="29" fillId="0" borderId="314" xfId="51" applyNumberFormat="1" applyFont="1" applyFill="1" applyBorder="1" applyAlignment="1" applyProtection="1">
      <alignment horizontal="center" vertical="center"/>
    </xf>
    <xf numFmtId="170" fontId="29" fillId="0" borderId="320" xfId="50" applyNumberFormat="1" applyFont="1" applyFill="1" applyBorder="1" applyAlignment="1" applyProtection="1">
      <alignment vertical="center"/>
    </xf>
    <xf numFmtId="10" fontId="28" fillId="75" borderId="321" xfId="0" applyNumberFormat="1" applyFont="1" applyFill="1" applyBorder="1" applyAlignment="1" applyProtection="1">
      <alignment horizontal="center" vertical="center"/>
    </xf>
    <xf numFmtId="170" fontId="28" fillId="75" borderId="316" xfId="0" applyNumberFormat="1" applyFont="1" applyFill="1" applyBorder="1" applyAlignment="1" applyProtection="1">
      <alignment horizontal="right" vertical="center"/>
    </xf>
    <xf numFmtId="0" fontId="29" fillId="0" borderId="293" xfId="0" applyFont="1" applyFill="1" applyBorder="1" applyAlignment="1">
      <alignment horizontal="center"/>
    </xf>
    <xf numFmtId="10" fontId="29" fillId="0" borderId="294" xfId="51" applyNumberFormat="1" applyFont="1" applyFill="1" applyBorder="1" applyAlignment="1" applyProtection="1">
      <alignment horizontal="center" vertical="center"/>
    </xf>
    <xf numFmtId="170" fontId="29" fillId="0" borderId="324" xfId="50" applyNumberFormat="1" applyFont="1" applyFill="1" applyBorder="1" applyAlignment="1" applyProtection="1">
      <alignment vertical="center"/>
    </xf>
    <xf numFmtId="0" fontId="29" fillId="0" borderId="322" xfId="49" applyFont="1" applyFill="1" applyBorder="1" applyAlignment="1">
      <alignment horizontal="center"/>
    </xf>
    <xf numFmtId="44" fontId="29" fillId="0" borderId="326" xfId="49" applyNumberFormat="1" applyFont="1" applyFill="1" applyBorder="1" applyAlignment="1" applyProtection="1">
      <alignment horizontal="center" vertical="center"/>
    </xf>
    <xf numFmtId="0" fontId="29" fillId="0" borderId="294" xfId="49" applyNumberFormat="1" applyFont="1" applyFill="1" applyBorder="1" applyAlignment="1" applyProtection="1">
      <alignment horizontal="center" vertical="center"/>
    </xf>
    <xf numFmtId="166" fontId="29" fillId="0" borderId="307" xfId="50" applyFont="1" applyFill="1" applyBorder="1" applyAlignment="1" applyProtection="1">
      <alignment vertical="center"/>
    </xf>
    <xf numFmtId="0" fontId="29" fillId="0" borderId="183" xfId="49" applyFont="1" applyFill="1" applyBorder="1" applyAlignment="1">
      <alignment horizontal="center"/>
    </xf>
    <xf numFmtId="0" fontId="29" fillId="0" borderId="58" xfId="49" applyNumberFormat="1" applyFont="1" applyFill="1" applyBorder="1" applyAlignment="1" applyProtection="1">
      <alignment horizontal="center" vertical="center"/>
    </xf>
    <xf numFmtId="44" fontId="29" fillId="0" borderId="152" xfId="0" applyNumberFormat="1" applyFont="1" applyFill="1" applyBorder="1" applyAlignment="1" applyProtection="1">
      <alignment horizontal="center" vertical="center"/>
    </xf>
    <xf numFmtId="0" fontId="28" fillId="76" borderId="322" xfId="49" applyFont="1" applyFill="1" applyBorder="1" applyAlignment="1" applyProtection="1">
      <alignment horizontal="center" vertical="center"/>
    </xf>
    <xf numFmtId="10" fontId="28" fillId="76" borderId="326" xfId="49" applyNumberFormat="1" applyFont="1" applyFill="1" applyBorder="1" applyAlignment="1" applyProtection="1">
      <alignment horizontal="center" vertical="center"/>
    </xf>
    <xf numFmtId="170" fontId="28" fillId="76" borderId="307" xfId="49" applyNumberFormat="1" applyFont="1" applyFill="1" applyBorder="1" applyAlignment="1" applyProtection="1">
      <alignment horizontal="right" vertical="center"/>
    </xf>
    <xf numFmtId="0" fontId="28" fillId="76" borderId="183" xfId="49" applyFont="1" applyFill="1" applyBorder="1" applyAlignment="1" applyProtection="1">
      <alignment horizontal="center" vertical="center"/>
    </xf>
    <xf numFmtId="10" fontId="28" fillId="76" borderId="11" xfId="49" applyNumberFormat="1" applyFont="1" applyFill="1" applyBorder="1" applyAlignment="1" applyProtection="1">
      <alignment horizontal="center" vertical="center"/>
    </xf>
    <xf numFmtId="170" fontId="28" fillId="76" borderId="59" xfId="49" applyNumberFormat="1" applyFont="1" applyFill="1" applyBorder="1" applyAlignment="1" applyProtection="1">
      <alignment horizontal="right" vertical="center"/>
    </xf>
    <xf numFmtId="0" fontId="28" fillId="74" borderId="323" xfId="49" applyFont="1" applyFill="1" applyBorder="1" applyAlignment="1" applyProtection="1">
      <alignment horizontal="left" vertical="center"/>
    </xf>
    <xf numFmtId="0" fontId="28" fillId="74" borderId="324" xfId="49" applyFont="1" applyFill="1" applyBorder="1" applyAlignment="1" applyProtection="1">
      <alignment horizontal="left" vertical="center"/>
    </xf>
    <xf numFmtId="0" fontId="29" fillId="34" borderId="0" xfId="49" applyFont="1" applyFill="1" applyBorder="1" applyAlignment="1" applyProtection="1">
      <alignment vertical="center"/>
    </xf>
    <xf numFmtId="0" fontId="29" fillId="0" borderId="293" xfId="49" applyFont="1" applyFill="1" applyBorder="1" applyAlignment="1">
      <alignment horizontal="center"/>
    </xf>
    <xf numFmtId="170" fontId="29" fillId="0" borderId="307" xfId="50" applyNumberFormat="1" applyFont="1" applyFill="1" applyBorder="1" applyAlignment="1" applyProtection="1">
      <alignment vertical="center"/>
    </xf>
    <xf numFmtId="0" fontId="29" fillId="0" borderId="216" xfId="49" applyFont="1" applyFill="1" applyBorder="1" applyAlignment="1">
      <alignment horizontal="center"/>
    </xf>
    <xf numFmtId="170" fontId="29" fillId="0" borderId="59" xfId="50" applyNumberFormat="1" applyFont="1" applyFill="1" applyBorder="1" applyAlignment="1" applyProtection="1">
      <alignment vertical="center"/>
    </xf>
    <xf numFmtId="170" fontId="29" fillId="0" borderId="153" xfId="50" applyNumberFormat="1" applyFont="1" applyFill="1" applyBorder="1" applyAlignment="1" applyProtection="1">
      <alignment vertical="center"/>
    </xf>
    <xf numFmtId="10" fontId="28" fillId="75" borderId="91" xfId="49" applyNumberFormat="1" applyFont="1" applyFill="1" applyBorder="1" applyAlignment="1" applyProtection="1">
      <alignment horizontal="center" vertical="center"/>
    </xf>
    <xf numFmtId="170" fontId="28" fillId="75" borderId="153" xfId="49" applyNumberFormat="1" applyFont="1" applyFill="1" applyBorder="1" applyAlignment="1" applyProtection="1">
      <alignment horizontal="right" vertical="center"/>
    </xf>
    <xf numFmtId="10" fontId="28" fillId="75" borderId="321" xfId="49" applyNumberFormat="1" applyFont="1" applyFill="1" applyBorder="1" applyAlignment="1" applyProtection="1">
      <alignment horizontal="center" vertical="center"/>
    </xf>
    <xf numFmtId="170" fontId="28" fillId="75" borderId="316" xfId="49" applyNumberFormat="1" applyFont="1" applyFill="1" applyBorder="1" applyAlignment="1" applyProtection="1">
      <alignment horizontal="right" vertical="center"/>
    </xf>
    <xf numFmtId="169" fontId="29" fillId="0" borderId="0" xfId="0" applyNumberFormat="1" applyFont="1" applyFill="1" applyBorder="1" applyAlignment="1" applyProtection="1">
      <alignment vertical="center"/>
    </xf>
    <xf numFmtId="0" fontId="29" fillId="34" borderId="0" xfId="0" applyFont="1" applyFill="1" applyBorder="1" applyAlignment="1" applyProtection="1">
      <alignment vertical="center"/>
    </xf>
    <xf numFmtId="0" fontId="29" fillId="0" borderId="0" xfId="0" applyFont="1" applyFill="1" applyBorder="1"/>
    <xf numFmtId="10" fontId="29" fillId="0" borderId="325" xfId="51" applyNumberFormat="1" applyFont="1" applyFill="1" applyBorder="1" applyAlignment="1" applyProtection="1">
      <alignment horizontal="center" vertical="center"/>
    </xf>
    <xf numFmtId="10" fontId="29" fillId="0" borderId="0" xfId="49" applyNumberFormat="1" applyFont="1" applyFill="1" applyBorder="1"/>
    <xf numFmtId="1" fontId="29" fillId="0" borderId="326" xfId="49" applyNumberFormat="1" applyFont="1" applyFill="1" applyBorder="1" applyAlignment="1" applyProtection="1">
      <alignment horizontal="center" vertical="center"/>
    </xf>
    <xf numFmtId="1" fontId="29" fillId="0" borderId="11" xfId="0" applyNumberFormat="1" applyFont="1" applyFill="1" applyBorder="1" applyAlignment="1" applyProtection="1">
      <alignment horizontal="center" vertical="center"/>
    </xf>
    <xf numFmtId="3" fontId="29" fillId="0" borderId="11" xfId="51" applyNumberFormat="1" applyFont="1" applyFill="1" applyBorder="1" applyAlignment="1" applyProtection="1">
      <alignment horizontal="center" vertical="center"/>
    </xf>
    <xf numFmtId="10" fontId="28" fillId="0" borderId="87" xfId="35" applyNumberFormat="1" applyFont="1" applyFill="1" applyBorder="1" applyAlignment="1" applyProtection="1">
      <alignment horizontal="center" vertical="center"/>
    </xf>
    <xf numFmtId="170" fontId="28" fillId="0" borderId="153" xfId="50" applyNumberFormat="1" applyFont="1" applyFill="1" applyBorder="1" applyAlignment="1" applyProtection="1">
      <alignment vertical="center"/>
    </xf>
    <xf numFmtId="0" fontId="29" fillId="44" borderId="322" xfId="49" applyFont="1" applyFill="1" applyBorder="1"/>
    <xf numFmtId="0" fontId="28" fillId="75" borderId="323" xfId="49" applyFont="1" applyFill="1" applyBorder="1" applyAlignment="1" applyProtection="1">
      <alignment vertical="center"/>
    </xf>
    <xf numFmtId="0" fontId="28" fillId="75" borderId="326" xfId="49" applyFont="1" applyFill="1" applyBorder="1" applyAlignment="1" applyProtection="1">
      <alignment vertical="center"/>
    </xf>
    <xf numFmtId="166" fontId="28" fillId="75" borderId="307" xfId="31" applyNumberFormat="1" applyFont="1" applyFill="1" applyBorder="1" applyAlignment="1" applyProtection="1">
      <alignment vertical="center"/>
    </xf>
    <xf numFmtId="0" fontId="54" fillId="0" borderId="0" xfId="49" applyFont="1" applyFill="1" applyBorder="1"/>
    <xf numFmtId="177" fontId="33" fillId="0" borderId="327" xfId="0" applyNumberFormat="1" applyFont="1" applyBorder="1"/>
    <xf numFmtId="0" fontId="28" fillId="31" borderId="315" xfId="49" applyFont="1" applyFill="1" applyBorder="1" applyAlignment="1" applyProtection="1">
      <alignment horizontal="center" vertical="center"/>
    </xf>
    <xf numFmtId="0" fontId="28" fillId="31" borderId="314" xfId="49" applyFont="1" applyFill="1" applyBorder="1" applyAlignment="1" applyProtection="1">
      <alignment horizontal="center" vertical="center"/>
    </xf>
    <xf numFmtId="166" fontId="28" fillId="31" borderId="316" xfId="50" applyFont="1" applyFill="1" applyBorder="1" applyAlignment="1" applyProtection="1">
      <alignment horizontal="center" vertical="center"/>
    </xf>
    <xf numFmtId="166" fontId="28" fillId="32" borderId="316" xfId="50" applyFont="1" applyFill="1" applyBorder="1" applyAlignment="1" applyProtection="1">
      <alignment vertical="center"/>
    </xf>
    <xf numFmtId="0" fontId="29" fillId="0" borderId="216" xfId="0" applyFont="1" applyBorder="1" applyAlignment="1">
      <alignment horizontal="center"/>
    </xf>
    <xf numFmtId="0" fontId="29" fillId="0" borderId="183" xfId="0" applyFont="1" applyBorder="1"/>
    <xf numFmtId="10" fontId="28" fillId="0" borderId="312" xfId="51" applyNumberFormat="1" applyFont="1" applyBorder="1" applyAlignment="1" applyProtection="1">
      <alignment horizontal="center" vertical="center"/>
    </xf>
    <xf numFmtId="0" fontId="29" fillId="0" borderId="315" xfId="0" applyFont="1" applyBorder="1" applyAlignment="1" applyProtection="1">
      <alignment horizontal="center" vertical="center"/>
    </xf>
    <xf numFmtId="0" fontId="29" fillId="0" borderId="321" xfId="0" applyFont="1" applyBorder="1" applyAlignment="1" applyProtection="1">
      <alignment vertical="center"/>
    </xf>
    <xf numFmtId="0" fontId="29" fillId="0" borderId="312" xfId="0" applyFont="1" applyBorder="1" applyAlignment="1" applyProtection="1">
      <alignment vertical="center"/>
    </xf>
    <xf numFmtId="10" fontId="29" fillId="0" borderId="314" xfId="51" applyNumberFormat="1" applyFont="1" applyBorder="1" applyAlignment="1" applyProtection="1">
      <alignment horizontal="center" vertical="center"/>
    </xf>
    <xf numFmtId="170" fontId="29" fillId="0" borderId="320" xfId="50" applyNumberFormat="1" applyFont="1" applyBorder="1" applyAlignment="1" applyProtection="1">
      <alignment vertical="center"/>
    </xf>
    <xf numFmtId="10" fontId="28" fillId="32" borderId="321" xfId="0" applyNumberFormat="1" applyFont="1" applyFill="1" applyBorder="1" applyAlignment="1" applyProtection="1">
      <alignment horizontal="center" vertical="center"/>
    </xf>
    <xf numFmtId="170" fontId="28" fillId="32" borderId="316" xfId="0" applyNumberFormat="1" applyFont="1" applyFill="1" applyBorder="1" applyAlignment="1" applyProtection="1">
      <alignment horizontal="right" vertical="center"/>
    </xf>
    <xf numFmtId="0" fontId="29" fillId="0" borderId="293" xfId="0" applyFont="1" applyBorder="1" applyAlignment="1">
      <alignment horizontal="center"/>
    </xf>
    <xf numFmtId="10" fontId="29" fillId="0" borderId="294" xfId="51" applyNumberFormat="1" applyFont="1" applyBorder="1" applyAlignment="1" applyProtection="1">
      <alignment horizontal="center" vertical="center"/>
    </xf>
    <xf numFmtId="170" fontId="29" fillId="0" borderId="324" xfId="50" applyNumberFormat="1" applyFont="1" applyBorder="1" applyAlignment="1" applyProtection="1">
      <alignment vertical="center"/>
    </xf>
    <xf numFmtId="0" fontId="29" fillId="0" borderId="322" xfId="49" applyFont="1" applyBorder="1" applyAlignment="1">
      <alignment horizontal="center"/>
    </xf>
    <xf numFmtId="0" fontId="29" fillId="0" borderId="294" xfId="49" applyNumberFormat="1" applyFont="1" applyBorder="1" applyAlignment="1" applyProtection="1">
      <alignment horizontal="center" vertical="center"/>
    </xf>
    <xf numFmtId="166" fontId="29" fillId="0" borderId="307" xfId="50" applyFont="1" applyBorder="1" applyAlignment="1" applyProtection="1">
      <alignment vertical="center"/>
    </xf>
    <xf numFmtId="0" fontId="28" fillId="33" borderId="322" xfId="49" applyFont="1" applyFill="1" applyBorder="1" applyAlignment="1" applyProtection="1">
      <alignment horizontal="center" vertical="center"/>
    </xf>
    <xf numFmtId="10" fontId="28" fillId="33" borderId="326" xfId="49" applyNumberFormat="1" applyFont="1" applyFill="1" applyBorder="1" applyAlignment="1" applyProtection="1">
      <alignment horizontal="center" vertical="center"/>
    </xf>
    <xf numFmtId="170" fontId="28" fillId="33" borderId="307" xfId="49" applyNumberFormat="1" applyFont="1" applyFill="1" applyBorder="1" applyAlignment="1" applyProtection="1">
      <alignment horizontal="right" vertical="center"/>
    </xf>
    <xf numFmtId="0" fontId="28" fillId="33" borderId="183" xfId="49" applyFont="1" applyFill="1" applyBorder="1" applyAlignment="1" applyProtection="1">
      <alignment horizontal="center" vertical="center"/>
    </xf>
    <xf numFmtId="0" fontId="28" fillId="31" borderId="324" xfId="49" applyFont="1" applyFill="1" applyBorder="1" applyAlignment="1" applyProtection="1">
      <alignment horizontal="left" vertical="center"/>
    </xf>
    <xf numFmtId="0" fontId="29" fillId="0" borderId="293" xfId="49" applyFont="1" applyBorder="1" applyAlignment="1">
      <alignment horizontal="center"/>
    </xf>
    <xf numFmtId="170" fontId="29" fillId="0" borderId="307" xfId="50" applyNumberFormat="1" applyFont="1" applyBorder="1" applyAlignment="1" applyProtection="1">
      <alignment vertical="center"/>
    </xf>
    <xf numFmtId="10" fontId="28" fillId="32" borderId="321" xfId="49" applyNumberFormat="1" applyFont="1" applyFill="1" applyBorder="1" applyAlignment="1" applyProtection="1">
      <alignment horizontal="center" vertical="center"/>
    </xf>
    <xf numFmtId="170" fontId="28" fillId="32" borderId="316" xfId="49" applyNumberFormat="1" applyFont="1" applyFill="1" applyBorder="1" applyAlignment="1" applyProtection="1">
      <alignment horizontal="right" vertical="center"/>
    </xf>
    <xf numFmtId="10" fontId="29" fillId="0" borderId="325" xfId="51" applyNumberFormat="1" applyFont="1" applyBorder="1" applyAlignment="1" applyProtection="1">
      <alignment horizontal="center" vertical="center"/>
    </xf>
    <xf numFmtId="1" fontId="29" fillId="0" borderId="326" xfId="49" applyNumberFormat="1" applyFont="1" applyBorder="1" applyAlignment="1" applyProtection="1">
      <alignment horizontal="center" vertical="center"/>
    </xf>
    <xf numFmtId="0" fontId="29" fillId="25" borderId="322" xfId="49" applyFont="1" applyFill="1" applyBorder="1"/>
    <xf numFmtId="0" fontId="28" fillId="32" borderId="326" xfId="49" applyFont="1" applyFill="1" applyBorder="1" applyAlignment="1" applyProtection="1">
      <alignment vertical="center"/>
    </xf>
    <xf numFmtId="166" fontId="28" fillId="32" borderId="307" xfId="31" applyNumberFormat="1" applyFont="1" applyFill="1" applyBorder="1" applyAlignment="1" applyProtection="1">
      <alignment vertical="center"/>
    </xf>
    <xf numFmtId="0" fontId="29" fillId="25" borderId="183" xfId="49" applyFont="1" applyFill="1" applyBorder="1"/>
    <xf numFmtId="0" fontId="28" fillId="36" borderId="183" xfId="49" applyFont="1" applyFill="1" applyBorder="1" applyAlignment="1" applyProtection="1">
      <alignment vertical="center"/>
    </xf>
    <xf numFmtId="0" fontId="28" fillId="36" borderId="189" xfId="49" applyFont="1" applyFill="1" applyBorder="1" applyAlignment="1" applyProtection="1">
      <alignment vertical="center"/>
    </xf>
    <xf numFmtId="3" fontId="28" fillId="36" borderId="192" xfId="35" applyNumberFormat="1" applyFont="1" applyFill="1" applyBorder="1" applyAlignment="1" applyProtection="1">
      <alignment vertical="center"/>
    </xf>
    <xf numFmtId="8" fontId="28" fillId="36" borderId="194" xfId="31" applyNumberFormat="1" applyFont="1" applyFill="1" applyBorder="1" applyAlignment="1" applyProtection="1">
      <alignment vertical="center"/>
    </xf>
    <xf numFmtId="174" fontId="32" fillId="67" borderId="310" xfId="0" applyNumberFormat="1" applyFont="1" applyFill="1" applyBorder="1"/>
    <xf numFmtId="0" fontId="33" fillId="16" borderId="334" xfId="0" applyFont="1" applyFill="1" applyBorder="1" applyAlignment="1">
      <alignment vertical="center"/>
    </xf>
    <xf numFmtId="177" fontId="33" fillId="0" borderId="335" xfId="0" applyNumberFormat="1" applyFont="1" applyBorder="1"/>
    <xf numFmtId="0" fontId="33" fillId="16" borderId="336" xfId="0" applyFont="1" applyFill="1" applyBorder="1" applyAlignment="1">
      <alignment vertical="center"/>
    </xf>
    <xf numFmtId="177" fontId="33" fillId="0" borderId="33" xfId="0" applyNumberFormat="1" applyFont="1" applyBorder="1"/>
    <xf numFmtId="166" fontId="33" fillId="0" borderId="337" xfId="0" applyNumberFormat="1" applyFont="1" applyBorder="1"/>
    <xf numFmtId="177" fontId="33" fillId="0" borderId="314" xfId="0" applyNumberFormat="1" applyFont="1" applyBorder="1"/>
    <xf numFmtId="166" fontId="33" fillId="0" borderId="314" xfId="0" applyNumberFormat="1" applyFont="1" applyBorder="1"/>
    <xf numFmtId="0" fontId="33" fillId="43" borderId="183" xfId="0" applyFont="1" applyFill="1" applyBorder="1"/>
    <xf numFmtId="2" fontId="32" fillId="0" borderId="338" xfId="0" applyNumberFormat="1" applyFont="1" applyBorder="1"/>
    <xf numFmtId="0" fontId="28" fillId="43" borderId="339" xfId="0" applyFont="1" applyFill="1" applyBorder="1" applyAlignment="1">
      <alignment horizontal="center" vertical="center"/>
    </xf>
    <xf numFmtId="0" fontId="28" fillId="43" borderId="340" xfId="0" applyFont="1" applyFill="1" applyBorder="1" applyAlignment="1">
      <alignment horizontal="center" vertical="center" wrapText="1"/>
    </xf>
    <xf numFmtId="0" fontId="28" fillId="43" borderId="341" xfId="0" applyFont="1" applyFill="1" applyBorder="1" applyAlignment="1">
      <alignment horizontal="center" vertical="center" wrapText="1"/>
    </xf>
    <xf numFmtId="0" fontId="32" fillId="16" borderId="342" xfId="0" applyFont="1" applyFill="1" applyBorder="1" applyAlignment="1">
      <alignment vertical="center"/>
    </xf>
    <xf numFmtId="0" fontId="32" fillId="16" borderId="343" xfId="0" applyFont="1" applyFill="1" applyBorder="1"/>
    <xf numFmtId="0" fontId="32" fillId="16" borderId="344" xfId="0" applyFont="1" applyFill="1" applyBorder="1"/>
    <xf numFmtId="2" fontId="33" fillId="0" borderId="62" xfId="0" applyNumberFormat="1" applyFont="1" applyBorder="1"/>
    <xf numFmtId="2" fontId="33" fillId="0" borderId="60" xfId="0" applyNumberFormat="1" applyFont="1" applyBorder="1"/>
    <xf numFmtId="0" fontId="33" fillId="16" borderId="315" xfId="0" applyFont="1" applyFill="1" applyBorder="1" applyAlignment="1">
      <alignment vertical="center"/>
    </xf>
    <xf numFmtId="2" fontId="33" fillId="0" borderId="316" xfId="0" applyNumberFormat="1" applyFont="1" applyBorder="1"/>
    <xf numFmtId="2" fontId="33" fillId="0" borderId="345" xfId="0" applyNumberFormat="1" applyFont="1" applyBorder="1"/>
    <xf numFmtId="2" fontId="32" fillId="0" borderId="346" xfId="0" applyNumberFormat="1" applyFont="1" applyBorder="1"/>
    <xf numFmtId="1" fontId="32" fillId="46" borderId="348" xfId="0" applyNumberFormat="1" applyFont="1" applyFill="1" applyBorder="1" applyAlignment="1">
      <alignment horizontal="center" vertical="center"/>
    </xf>
    <xf numFmtId="0" fontId="28" fillId="47" borderId="349" xfId="0" applyFont="1" applyFill="1" applyBorder="1" applyAlignment="1">
      <alignment vertical="center"/>
    </xf>
    <xf numFmtId="166" fontId="33" fillId="0" borderId="350" xfId="65" applyFont="1" applyFill="1" applyBorder="1" applyAlignment="1" applyProtection="1"/>
    <xf numFmtId="0" fontId="33" fillId="42" borderId="350" xfId="0" applyFont="1" applyFill="1" applyBorder="1"/>
    <xf numFmtId="43" fontId="33" fillId="42" borderId="350" xfId="0" applyNumberFormat="1" applyFont="1" applyFill="1" applyBorder="1"/>
    <xf numFmtId="0" fontId="28" fillId="47" borderId="351" xfId="0" applyFont="1" applyFill="1" applyBorder="1" applyAlignment="1">
      <alignment vertical="center"/>
    </xf>
    <xf numFmtId="166" fontId="33" fillId="0" borderId="347" xfId="65" applyFont="1" applyFill="1" applyBorder="1" applyAlignment="1" applyProtection="1"/>
    <xf numFmtId="3" fontId="33" fillId="42" borderId="347" xfId="0" applyNumberFormat="1" applyFont="1" applyFill="1" applyBorder="1"/>
    <xf numFmtId="43" fontId="33" fillId="42" borderId="337" xfId="0" applyNumberFormat="1" applyFont="1" applyFill="1" applyBorder="1"/>
    <xf numFmtId="0" fontId="33" fillId="42" borderId="347" xfId="0" applyFont="1" applyFill="1" applyBorder="1"/>
    <xf numFmtId="166" fontId="33" fillId="0" borderId="352" xfId="65" applyFont="1" applyFill="1" applyBorder="1" applyAlignment="1" applyProtection="1"/>
    <xf numFmtId="3" fontId="33" fillId="42" borderId="352" xfId="0" applyNumberFormat="1" applyFont="1" applyFill="1" applyBorder="1"/>
    <xf numFmtId="43" fontId="33" fillId="42" borderId="353" xfId="0" applyNumberFormat="1" applyFont="1" applyFill="1" applyBorder="1"/>
    <xf numFmtId="1" fontId="33" fillId="42" borderId="64" xfId="0" applyNumberFormat="1" applyFont="1" applyFill="1" applyBorder="1" applyAlignment="1">
      <alignment horizontal="center" vertical="center"/>
    </xf>
    <xf numFmtId="0" fontId="28" fillId="47" borderId="355" xfId="0" applyFont="1" applyFill="1" applyBorder="1" applyAlignment="1">
      <alignment vertical="center"/>
    </xf>
    <xf numFmtId="166" fontId="33" fillId="0" borderId="356" xfId="65" applyFont="1" applyFill="1" applyBorder="1" applyAlignment="1" applyProtection="1"/>
    <xf numFmtId="0" fontId="33" fillId="42" borderId="356" xfId="0" applyFont="1" applyFill="1" applyBorder="1"/>
    <xf numFmtId="43" fontId="33" fillId="42" borderId="356" xfId="0" applyNumberFormat="1" applyFont="1" applyFill="1" applyBorder="1"/>
    <xf numFmtId="0" fontId="28" fillId="47" borderId="357" xfId="0" applyFont="1" applyFill="1" applyBorder="1" applyAlignment="1">
      <alignment vertical="center"/>
    </xf>
    <xf numFmtId="166" fontId="33" fillId="0" borderId="358" xfId="65" applyFont="1" applyFill="1" applyBorder="1" applyAlignment="1" applyProtection="1"/>
    <xf numFmtId="3" fontId="33" fillId="42" borderId="358" xfId="0" applyNumberFormat="1" applyFont="1" applyFill="1" applyBorder="1"/>
    <xf numFmtId="43" fontId="33" fillId="42" borderId="358" xfId="0" applyNumberFormat="1" applyFont="1" applyFill="1" applyBorder="1"/>
    <xf numFmtId="1" fontId="33" fillId="42" borderId="359" xfId="0" applyNumberFormat="1" applyFont="1" applyFill="1" applyBorder="1" applyAlignment="1">
      <alignment horizontal="center" vertical="center"/>
    </xf>
    <xf numFmtId="0" fontId="32" fillId="16" borderId="365" xfId="0" applyFont="1" applyFill="1" applyBorder="1" applyAlignment="1">
      <alignment vertical="center"/>
    </xf>
    <xf numFmtId="174" fontId="33" fillId="0" borderId="366" xfId="0" applyNumberFormat="1" applyFont="1" applyFill="1" applyBorder="1" applyAlignment="1">
      <alignment horizontal="right"/>
    </xf>
    <xf numFmtId="166" fontId="33" fillId="0" borderId="366" xfId="0" applyNumberFormat="1" applyFont="1" applyFill="1" applyBorder="1" applyAlignment="1">
      <alignment horizontal="center"/>
    </xf>
    <xf numFmtId="174" fontId="33" fillId="0" borderId="367" xfId="0" applyNumberFormat="1" applyFont="1" applyFill="1" applyBorder="1"/>
    <xf numFmtId="174" fontId="33" fillId="0" borderId="368" xfId="0" applyNumberFormat="1" applyFont="1" applyFill="1" applyBorder="1"/>
    <xf numFmtId="0" fontId="32" fillId="16" borderId="369" xfId="0" applyFont="1" applyFill="1" applyBorder="1" applyAlignment="1">
      <alignment vertical="center"/>
    </xf>
    <xf numFmtId="174" fontId="32" fillId="66" borderId="372" xfId="0" applyNumberFormat="1" applyFont="1" applyFill="1" applyBorder="1" applyAlignment="1"/>
    <xf numFmtId="174" fontId="32" fillId="59" borderId="310" xfId="0" applyNumberFormat="1" applyFont="1" applyFill="1" applyBorder="1" applyAlignment="1">
      <alignment vertical="center"/>
    </xf>
    <xf numFmtId="1" fontId="33" fillId="41" borderId="362" xfId="0" applyNumberFormat="1" applyFont="1" applyFill="1" applyBorder="1" applyAlignment="1">
      <alignment horizontal="center" vertical="center"/>
    </xf>
    <xf numFmtId="0" fontId="32" fillId="16" borderId="355" xfId="0" applyFont="1" applyFill="1" applyBorder="1" applyAlignment="1">
      <alignment vertical="center"/>
    </xf>
    <xf numFmtId="174" fontId="33" fillId="0" borderId="356" xfId="0" applyNumberFormat="1" applyFont="1" applyFill="1" applyBorder="1"/>
    <xf numFmtId="174" fontId="33" fillId="0" borderId="380" xfId="0" applyNumberFormat="1" applyFont="1" applyFill="1" applyBorder="1"/>
    <xf numFmtId="174" fontId="32" fillId="50" borderId="362" xfId="0" applyNumberFormat="1" applyFont="1" applyFill="1" applyBorder="1" applyAlignment="1">
      <alignment vertical="center"/>
    </xf>
    <xf numFmtId="174" fontId="32" fillId="64" borderId="310" xfId="0" applyNumberFormat="1" applyFont="1" applyFill="1" applyBorder="1"/>
    <xf numFmtId="174" fontId="32" fillId="68" borderId="310" xfId="0" applyNumberFormat="1" applyFont="1" applyFill="1" applyBorder="1"/>
    <xf numFmtId="174" fontId="32" fillId="68" borderId="383" xfId="0" applyNumberFormat="1" applyFont="1" applyFill="1" applyBorder="1"/>
    <xf numFmtId="174" fontId="32" fillId="50" borderId="362" xfId="0" applyNumberFormat="1" applyFont="1" applyFill="1" applyBorder="1" applyAlignment="1"/>
    <xf numFmtId="1" fontId="33" fillId="70" borderId="362" xfId="0" applyNumberFormat="1" applyFont="1" applyFill="1" applyBorder="1" applyAlignment="1">
      <alignment horizontal="center" vertical="center"/>
    </xf>
    <xf numFmtId="174" fontId="32" fillId="51" borderId="362" xfId="0" applyNumberFormat="1" applyFont="1" applyFill="1" applyBorder="1"/>
    <xf numFmtId="1" fontId="32" fillId="51" borderId="362" xfId="0" applyNumberFormat="1" applyFont="1" applyFill="1" applyBorder="1" applyAlignment="1">
      <alignment horizontal="center" vertical="center"/>
    </xf>
    <xf numFmtId="10" fontId="29" fillId="49" borderId="58" xfId="51" applyNumberFormat="1" applyFont="1" applyFill="1" applyBorder="1" applyAlignment="1" applyProtection="1">
      <alignment horizontal="center" vertical="center"/>
    </xf>
    <xf numFmtId="10" fontId="29" fillId="49" borderId="175" xfId="51" applyNumberFormat="1" applyFont="1" applyFill="1" applyBorder="1" applyAlignment="1" applyProtection="1">
      <alignment horizontal="center" vertical="center"/>
    </xf>
    <xf numFmtId="44" fontId="29" fillId="49" borderId="58" xfId="49" applyNumberFormat="1" applyFont="1" applyFill="1" applyBorder="1" applyAlignment="1" applyProtection="1">
      <alignment horizontal="center" vertical="center"/>
    </xf>
    <xf numFmtId="44" fontId="29" fillId="49" borderId="11" xfId="49" applyNumberFormat="1" applyFont="1" applyFill="1" applyBorder="1" applyAlignment="1" applyProtection="1">
      <alignment horizontal="center" vertical="center"/>
    </xf>
    <xf numFmtId="10" fontId="29" fillId="78" borderId="26" xfId="35" applyNumberFormat="1" applyFont="1" applyFill="1" applyBorder="1" applyAlignment="1" applyProtection="1">
      <alignment horizontal="center" vertical="center"/>
    </xf>
    <xf numFmtId="10" fontId="29" fillId="78" borderId="294" xfId="35" applyNumberFormat="1" applyFont="1" applyFill="1" applyBorder="1" applyAlignment="1" applyProtection="1">
      <alignment horizontal="center" vertical="center"/>
    </xf>
    <xf numFmtId="10" fontId="29" fillId="78" borderId="58" xfId="35" applyNumberFormat="1" applyFont="1" applyFill="1" applyBorder="1" applyAlignment="1" applyProtection="1">
      <alignment horizontal="center" vertical="center"/>
    </xf>
    <xf numFmtId="10" fontId="29" fillId="78" borderId="175" xfId="35" applyNumberFormat="1" applyFont="1" applyFill="1" applyBorder="1" applyAlignment="1" applyProtection="1">
      <alignment horizontal="center" vertical="center"/>
    </xf>
    <xf numFmtId="10" fontId="29" fillId="78" borderId="58" xfId="51" applyNumberFormat="1" applyFont="1" applyFill="1" applyBorder="1" applyAlignment="1" applyProtection="1">
      <alignment horizontal="center" vertical="center"/>
    </xf>
    <xf numFmtId="10" fontId="29" fillId="78" borderId="175" xfId="51" applyNumberFormat="1" applyFont="1" applyFill="1" applyBorder="1" applyAlignment="1" applyProtection="1">
      <alignment horizontal="center" vertical="center"/>
    </xf>
    <xf numFmtId="10" fontId="29" fillId="78" borderId="36" xfId="51" applyNumberFormat="1" applyFont="1" applyFill="1" applyBorder="1" applyAlignment="1" applyProtection="1">
      <alignment horizontal="center" vertical="center"/>
    </xf>
    <xf numFmtId="10" fontId="29" fillId="78" borderId="87" xfId="51" applyNumberFormat="1" applyFont="1" applyFill="1" applyBorder="1" applyAlignment="1" applyProtection="1">
      <alignment horizontal="center" vertical="center"/>
    </xf>
    <xf numFmtId="10" fontId="29" fillId="78" borderId="26" xfId="51" applyNumberFormat="1" applyFont="1" applyFill="1" applyBorder="1" applyAlignment="1" applyProtection="1">
      <alignment horizontal="center" vertical="center"/>
    </xf>
    <xf numFmtId="0" fontId="41" fillId="0" borderId="28" xfId="49" applyFont="1" applyBorder="1" applyAlignment="1">
      <alignment horizontal="center"/>
    </xf>
    <xf numFmtId="10" fontId="41" fillId="0" borderId="26" xfId="35" applyNumberFormat="1" applyFont="1" applyBorder="1" applyAlignment="1" applyProtection="1">
      <alignment horizontal="center" vertical="center"/>
    </xf>
    <xf numFmtId="170" fontId="41" fillId="0" borderId="30" xfId="50" applyNumberFormat="1" applyFont="1" applyBorder="1" applyAlignment="1" applyProtection="1">
      <alignment vertical="center"/>
    </xf>
    <xf numFmtId="10" fontId="41" fillId="0" borderId="24" xfId="35" applyNumberFormat="1" applyFont="1" applyBorder="1" applyAlignment="1" applyProtection="1">
      <alignment horizontal="center" vertical="center"/>
    </xf>
    <xf numFmtId="0" fontId="41" fillId="0" borderId="293" xfId="49" applyFont="1" applyBorder="1" applyAlignment="1">
      <alignment horizontal="center"/>
    </xf>
    <xf numFmtId="10" fontId="41" fillId="0" borderId="294" xfId="35" applyNumberFormat="1" applyFont="1" applyBorder="1" applyAlignment="1" applyProtection="1">
      <alignment horizontal="center" vertical="center"/>
    </xf>
    <xf numFmtId="170" fontId="41" fillId="0" borderId="307" xfId="50" applyNumberFormat="1" applyFont="1" applyBorder="1" applyAlignment="1" applyProtection="1">
      <alignment vertical="center"/>
    </xf>
    <xf numFmtId="10" fontId="41" fillId="0" borderId="325" xfId="35" applyNumberFormat="1" applyFont="1" applyBorder="1" applyAlignment="1" applyProtection="1">
      <alignment horizontal="center" vertical="center"/>
    </xf>
    <xf numFmtId="0" fontId="41" fillId="0" borderId="293" xfId="49" applyFont="1" applyFill="1" applyBorder="1" applyAlignment="1">
      <alignment horizontal="center"/>
    </xf>
    <xf numFmtId="10" fontId="41" fillId="0" borderId="294" xfId="35" applyNumberFormat="1" applyFont="1" applyFill="1" applyBorder="1" applyAlignment="1" applyProtection="1">
      <alignment horizontal="center" vertical="center"/>
    </xf>
    <xf numFmtId="170" fontId="41" fillId="0" borderId="307" xfId="50" applyNumberFormat="1" applyFont="1" applyFill="1" applyBorder="1" applyAlignment="1" applyProtection="1">
      <alignment vertical="center"/>
    </xf>
    <xf numFmtId="10" fontId="41" fillId="0" borderId="325" xfId="35" applyNumberFormat="1" applyFont="1" applyFill="1" applyBorder="1" applyAlignment="1" applyProtection="1">
      <alignment horizontal="center" vertical="center"/>
    </xf>
    <xf numFmtId="10" fontId="29" fillId="78" borderId="294" xfId="51" applyNumberFormat="1" applyFont="1" applyFill="1" applyBorder="1" applyAlignment="1" applyProtection="1">
      <alignment horizontal="center" vertical="center"/>
    </xf>
    <xf numFmtId="10" fontId="29" fillId="49" borderId="26" xfId="35" applyNumberFormat="1" applyFont="1" applyFill="1" applyBorder="1" applyAlignment="1" applyProtection="1">
      <alignment horizontal="center" vertical="center"/>
    </xf>
    <xf numFmtId="10" fontId="29" fillId="49" borderId="58" xfId="35" applyNumberFormat="1" applyFont="1" applyFill="1" applyBorder="1" applyAlignment="1" applyProtection="1">
      <alignment horizontal="center" vertical="center"/>
    </xf>
    <xf numFmtId="10" fontId="29" fillId="49" borderId="294" xfId="35" applyNumberFormat="1" applyFont="1" applyFill="1" applyBorder="1" applyAlignment="1" applyProtection="1">
      <alignment horizontal="center" vertical="center"/>
    </xf>
    <xf numFmtId="10" fontId="29" fillId="49" borderId="175" xfId="35" applyNumberFormat="1" applyFont="1" applyFill="1" applyBorder="1" applyAlignment="1" applyProtection="1">
      <alignment horizontal="center" vertical="center"/>
    </xf>
    <xf numFmtId="0" fontId="29" fillId="25" borderId="92" xfId="49" applyFont="1" applyFill="1" applyBorder="1"/>
    <xf numFmtId="0" fontId="28" fillId="32" borderId="386" xfId="49" applyFont="1" applyFill="1" applyBorder="1" applyAlignment="1" applyProtection="1">
      <alignment vertical="center"/>
    </xf>
    <xf numFmtId="1" fontId="30" fillId="32" borderId="387" xfId="49" applyNumberFormat="1" applyFont="1" applyFill="1" applyBorder="1" applyAlignment="1" applyProtection="1">
      <alignment vertical="center"/>
    </xf>
    <xf numFmtId="8" fontId="28" fillId="32" borderId="153" xfId="31" applyNumberFormat="1" applyFont="1" applyFill="1" applyBorder="1" applyAlignment="1" applyProtection="1">
      <alignment vertical="center"/>
    </xf>
    <xf numFmtId="0" fontId="29" fillId="44" borderId="92" xfId="49" applyFont="1" applyFill="1" applyBorder="1"/>
    <xf numFmtId="0" fontId="28" fillId="75" borderId="386" xfId="49" applyFont="1" applyFill="1" applyBorder="1" applyAlignment="1" applyProtection="1">
      <alignment vertical="center"/>
    </xf>
    <xf numFmtId="1" fontId="53" fillId="75" borderId="387" xfId="49" applyNumberFormat="1" applyFont="1" applyFill="1" applyBorder="1" applyAlignment="1" applyProtection="1">
      <alignment vertical="center"/>
    </xf>
    <xf numFmtId="8" fontId="28" fillId="75" borderId="153" xfId="31" applyNumberFormat="1" applyFont="1" applyFill="1" applyBorder="1" applyAlignment="1" applyProtection="1">
      <alignment vertical="center"/>
    </xf>
    <xf numFmtId="44" fontId="29" fillId="49" borderId="326" xfId="49" applyNumberFormat="1" applyFont="1" applyFill="1" applyBorder="1" applyAlignment="1" applyProtection="1">
      <alignment horizontal="center" vertical="center"/>
    </xf>
    <xf numFmtId="0" fontId="28" fillId="32" borderId="153" xfId="31" applyNumberFormat="1" applyFont="1" applyFill="1" applyBorder="1" applyAlignment="1" applyProtection="1">
      <alignment vertical="center"/>
    </xf>
    <xf numFmtId="0" fontId="28" fillId="37" borderId="157" xfId="31" applyNumberFormat="1" applyFont="1" applyFill="1" applyBorder="1" applyAlignment="1" applyProtection="1">
      <alignment vertical="center"/>
    </xf>
    <xf numFmtId="0" fontId="42" fillId="0" borderId="20"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34" xfId="0" applyFont="1" applyFill="1" applyBorder="1" applyAlignment="1">
      <alignment horizontal="center" vertical="center" wrapText="1"/>
    </xf>
    <xf numFmtId="0" fontId="42" fillId="0" borderId="35" xfId="0" applyFont="1" applyFill="1" applyBorder="1" applyAlignment="1">
      <alignment horizontal="center" vertical="center" wrapText="1"/>
    </xf>
    <xf numFmtId="0" fontId="42" fillId="0" borderId="34" xfId="0" applyFont="1" applyFill="1" applyBorder="1" applyAlignment="1">
      <alignment horizontal="left" vertical="center" wrapText="1"/>
    </xf>
    <xf numFmtId="0" fontId="42" fillId="0" borderId="35" xfId="0" applyFont="1" applyFill="1" applyBorder="1" applyAlignment="1">
      <alignment horizontal="left" vertical="center" wrapText="1"/>
    </xf>
    <xf numFmtId="0" fontId="42" fillId="0" borderId="40" xfId="0" applyFont="1" applyFill="1" applyBorder="1" applyAlignment="1">
      <alignment horizontal="left" vertical="center" wrapText="1"/>
    </xf>
    <xf numFmtId="0" fontId="42" fillId="0" borderId="14" xfId="0" applyFont="1" applyFill="1" applyBorder="1" applyAlignment="1">
      <alignment horizontal="left" vertical="center" wrapText="1"/>
    </xf>
    <xf numFmtId="0" fontId="38" fillId="44" borderId="38" xfId="0" applyFont="1" applyFill="1" applyBorder="1" applyAlignment="1">
      <alignment horizontal="center" vertical="center" wrapText="1"/>
    </xf>
    <xf numFmtId="0" fontId="38" fillId="44" borderId="39" xfId="0" applyFont="1" applyFill="1" applyBorder="1" applyAlignment="1">
      <alignment horizontal="center" vertical="center" wrapText="1"/>
    </xf>
    <xf numFmtId="0" fontId="38" fillId="44" borderId="44" xfId="0" applyFont="1" applyFill="1" applyBorder="1" applyAlignment="1">
      <alignment horizontal="center" vertical="center" wrapText="1"/>
    </xf>
    <xf numFmtId="0" fontId="38" fillId="44" borderId="51" xfId="0" applyFont="1" applyFill="1" applyBorder="1" applyAlignment="1">
      <alignment horizontal="center" vertical="center" wrapText="1"/>
    </xf>
    <xf numFmtId="0" fontId="42" fillId="0" borderId="41" xfId="0" applyFont="1" applyFill="1" applyBorder="1" applyAlignment="1">
      <alignment horizontal="left" vertical="center" wrapText="1"/>
    </xf>
    <xf numFmtId="0" fontId="42" fillId="0"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0" fontId="44" fillId="0" borderId="50" xfId="0" applyFont="1" applyFill="1" applyBorder="1" applyAlignment="1">
      <alignment horizontal="left" vertical="center" wrapText="1"/>
    </xf>
    <xf numFmtId="0" fontId="42" fillId="0" borderId="49" xfId="0" applyFont="1" applyFill="1" applyBorder="1" applyAlignment="1">
      <alignment horizontal="justify" vertical="center" wrapText="1"/>
    </xf>
    <xf numFmtId="0" fontId="44" fillId="0" borderId="30" xfId="0" applyFont="1" applyFill="1" applyBorder="1" applyAlignment="1">
      <alignment horizontal="left" vertical="center" wrapText="1"/>
    </xf>
    <xf numFmtId="0" fontId="44" fillId="0" borderId="42" xfId="0" applyFont="1" applyFill="1" applyBorder="1" applyAlignment="1">
      <alignment horizontal="left" vertical="center" wrapText="1"/>
    </xf>
    <xf numFmtId="0" fontId="29" fillId="0" borderId="155" xfId="46" applyNumberFormat="1" applyFont="1" applyFill="1" applyBorder="1" applyAlignment="1">
      <alignment horizontal="center" vertical="center"/>
    </xf>
    <xf numFmtId="0" fontId="29" fillId="0" borderId="174" xfId="46" applyNumberFormat="1" applyFont="1" applyFill="1" applyBorder="1" applyAlignment="1">
      <alignment horizontal="center" vertical="center"/>
    </xf>
    <xf numFmtId="0" fontId="35" fillId="40" borderId="178" xfId="47" applyFont="1" applyFill="1" applyBorder="1" applyAlignment="1">
      <alignment horizontal="center" vertical="center" wrapText="1"/>
    </xf>
    <xf numFmtId="0" fontId="35" fillId="40" borderId="144" xfId="47" applyFont="1" applyFill="1" applyBorder="1" applyAlignment="1">
      <alignment horizontal="center" vertical="center" wrapText="1"/>
    </xf>
    <xf numFmtId="0" fontId="29" fillId="0" borderId="238" xfId="46" applyNumberFormat="1" applyFont="1" applyFill="1" applyBorder="1" applyAlignment="1">
      <alignment horizontal="center" vertical="center"/>
    </xf>
    <xf numFmtId="0" fontId="29" fillId="0" borderId="149" xfId="46" applyNumberFormat="1" applyFont="1" applyFill="1" applyBorder="1" applyAlignment="1">
      <alignment horizontal="center" vertical="center"/>
    </xf>
    <xf numFmtId="0" fontId="29" fillId="0" borderId="259" xfId="46" applyNumberFormat="1" applyFont="1" applyFill="1" applyBorder="1" applyAlignment="1">
      <alignment horizontal="center" vertical="center"/>
    </xf>
    <xf numFmtId="0" fontId="29" fillId="0" borderId="173" xfId="46" applyNumberFormat="1" applyFont="1" applyFill="1" applyBorder="1" applyAlignment="1">
      <alignment horizontal="center" vertical="center"/>
    </xf>
    <xf numFmtId="0" fontId="35" fillId="40" borderId="95" xfId="47" applyFont="1" applyFill="1" applyBorder="1" applyAlignment="1">
      <alignment horizontal="center" vertical="center" wrapText="1"/>
    </xf>
    <xf numFmtId="0" fontId="35" fillId="40" borderId="149" xfId="47" applyFont="1" applyFill="1" applyBorder="1" applyAlignment="1">
      <alignment horizontal="center" vertical="center" wrapText="1"/>
    </xf>
    <xf numFmtId="0" fontId="35" fillId="40" borderId="148" xfId="47" applyFont="1" applyFill="1" applyBorder="1" applyAlignment="1">
      <alignment horizontal="center" vertical="center" wrapText="1"/>
    </xf>
    <xf numFmtId="0" fontId="35" fillId="40" borderId="90" xfId="47" applyFont="1" applyFill="1" applyBorder="1" applyAlignment="1">
      <alignment horizontal="center" vertical="center" wrapText="1"/>
    </xf>
    <xf numFmtId="0" fontId="32" fillId="40" borderId="88" xfId="47" applyFont="1" applyFill="1" applyBorder="1" applyAlignment="1">
      <alignment horizontal="center" vertical="center" wrapText="1"/>
    </xf>
    <xf numFmtId="0" fontId="32" fillId="40" borderId="41" xfId="47" applyFont="1" applyFill="1" applyBorder="1" applyAlignment="1">
      <alignment horizontal="center" vertical="center" wrapText="1"/>
    </xf>
    <xf numFmtId="174" fontId="35" fillId="40" borderId="89" xfId="47" applyNumberFormat="1"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77"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0" fontId="35" fillId="40" borderId="97" xfId="47" applyFont="1" applyFill="1" applyBorder="1" applyAlignment="1">
      <alignment horizontal="center" vertical="center" wrapText="1"/>
    </xf>
    <xf numFmtId="0" fontId="35" fillId="40" borderId="96" xfId="47" applyFont="1" applyFill="1" applyBorder="1" applyAlignment="1">
      <alignment horizontal="center" vertical="center" wrapText="1"/>
    </xf>
    <xf numFmtId="0" fontId="28" fillId="25" borderId="71" xfId="47" applyFont="1" applyFill="1" applyBorder="1" applyAlignment="1">
      <alignment horizontal="left" vertical="center"/>
    </xf>
    <xf numFmtId="0" fontId="28" fillId="25" borderId="210" xfId="47" applyFont="1" applyFill="1" applyBorder="1" applyAlignment="1">
      <alignment horizontal="left" vertical="center"/>
    </xf>
    <xf numFmtId="0" fontId="28" fillId="25" borderId="159" xfId="47" applyFont="1" applyFill="1" applyBorder="1" applyAlignment="1">
      <alignment horizontal="left" vertical="center"/>
    </xf>
    <xf numFmtId="0" fontId="28" fillId="25" borderId="195" xfId="47" applyFont="1" applyFill="1" applyBorder="1" applyAlignment="1">
      <alignment horizontal="left" vertical="center"/>
    </xf>
    <xf numFmtId="0" fontId="29" fillId="24" borderId="159" xfId="47" applyFont="1" applyFill="1" applyBorder="1" applyAlignment="1">
      <alignment horizontal="center" vertical="center"/>
    </xf>
    <xf numFmtId="0" fontId="29" fillId="24" borderId="145" xfId="47" applyFont="1" applyFill="1" applyBorder="1" applyAlignment="1">
      <alignment horizontal="center" vertical="center"/>
    </xf>
    <xf numFmtId="0" fontId="29" fillId="24" borderId="241" xfId="47" applyFont="1" applyFill="1" applyBorder="1" applyAlignment="1">
      <alignment horizontal="center" vertical="center"/>
    </xf>
    <xf numFmtId="0" fontId="29" fillId="24" borderId="146" xfId="47" applyFont="1" applyFill="1" applyBorder="1" applyAlignment="1">
      <alignment horizontal="center" vertical="center"/>
    </xf>
    <xf numFmtId="0" fontId="34" fillId="40" borderId="81" xfId="33" applyFont="1" applyFill="1" applyBorder="1" applyAlignment="1">
      <alignment horizontal="center" vertical="center" wrapText="1"/>
    </xf>
    <xf numFmtId="0" fontId="34" fillId="40" borderId="82" xfId="33" applyFont="1" applyFill="1" applyBorder="1" applyAlignment="1">
      <alignment horizontal="center" vertical="center" wrapText="1"/>
    </xf>
    <xf numFmtId="0" fontId="34" fillId="40" borderId="143" xfId="33" applyFont="1" applyFill="1" applyBorder="1" applyAlignment="1">
      <alignment horizontal="center" vertical="center" wrapText="1"/>
    </xf>
    <xf numFmtId="0" fontId="34" fillId="40" borderId="178" xfId="33" applyFont="1" applyFill="1" applyBorder="1" applyAlignment="1">
      <alignment horizontal="center" vertical="center" wrapText="1"/>
    </xf>
    <xf numFmtId="0" fontId="34" fillId="40" borderId="83" xfId="33" applyFont="1" applyFill="1" applyBorder="1" applyAlignment="1">
      <alignment horizontal="center" vertical="center" wrapText="1"/>
    </xf>
    <xf numFmtId="0" fontId="32" fillId="40" borderId="80"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35" xfId="33" applyFont="1" applyFill="1" applyBorder="1" applyAlignment="1">
      <alignment horizontal="center" vertical="center"/>
    </xf>
    <xf numFmtId="0" fontId="28" fillId="24" borderId="102" xfId="33" applyFont="1" applyFill="1" applyBorder="1" applyAlignment="1">
      <alignment horizontal="center" vertical="center" wrapText="1"/>
    </xf>
    <xf numFmtId="0" fontId="28" fillId="24" borderId="0" xfId="33" applyFont="1" applyFill="1" applyBorder="1" applyAlignment="1">
      <alignment horizontal="center" vertical="center" wrapText="1"/>
    </xf>
    <xf numFmtId="0" fontId="28" fillId="24" borderId="35" xfId="33" applyFont="1" applyFill="1" applyBorder="1" applyAlignment="1">
      <alignment horizontal="center" vertical="center" wrapText="1"/>
    </xf>
    <xf numFmtId="0" fontId="32" fillId="53" borderId="88" xfId="47" applyFont="1" applyFill="1" applyBorder="1" applyAlignment="1">
      <alignment horizontal="center" vertical="center" wrapText="1"/>
    </xf>
    <xf numFmtId="0" fontId="32" fillId="53" borderId="163" xfId="47" applyFont="1" applyFill="1" applyBorder="1" applyAlignment="1">
      <alignment horizontal="center" vertical="center" wrapText="1"/>
    </xf>
    <xf numFmtId="0" fontId="35" fillId="40" borderId="167" xfId="47" applyFont="1" applyFill="1" applyBorder="1" applyAlignment="1">
      <alignment horizontal="center" vertical="center" wrapText="1"/>
    </xf>
    <xf numFmtId="0" fontId="35" fillId="40" borderId="147" xfId="47" applyFont="1" applyFill="1" applyBorder="1" applyAlignment="1">
      <alignment horizontal="center" vertical="center" wrapText="1"/>
    </xf>
    <xf numFmtId="0" fontId="35" fillId="40" borderId="151" xfId="47" applyFont="1" applyFill="1" applyBorder="1" applyAlignment="1">
      <alignment horizontal="center" vertical="center" wrapText="1"/>
    </xf>
    <xf numFmtId="0" fontId="39" fillId="40" borderId="100" xfId="47" applyFont="1" applyFill="1" applyBorder="1" applyAlignment="1">
      <alignment horizontal="center" vertical="center" wrapText="1"/>
    </xf>
    <xf numFmtId="0" fontId="35" fillId="40" borderId="240" xfId="47" applyFont="1" applyFill="1" applyBorder="1" applyAlignment="1">
      <alignment horizontal="center" vertical="center" wrapText="1"/>
    </xf>
    <xf numFmtId="0" fontId="35" fillId="40" borderId="239" xfId="47" applyFont="1" applyFill="1" applyBorder="1" applyAlignment="1">
      <alignment horizontal="center" vertical="center" wrapText="1"/>
    </xf>
    <xf numFmtId="0" fontId="28" fillId="25" borderId="145" xfId="47" applyFont="1" applyFill="1" applyBorder="1" applyAlignment="1">
      <alignment horizontal="left" vertical="center"/>
    </xf>
    <xf numFmtId="0" fontId="28" fillId="25" borderId="146" xfId="47" applyFont="1" applyFill="1" applyBorder="1" applyAlignment="1">
      <alignment horizontal="left" vertical="center"/>
    </xf>
    <xf numFmtId="0" fontId="32" fillId="40" borderId="163" xfId="47" applyFont="1" applyFill="1" applyBorder="1" applyAlignment="1">
      <alignment horizontal="center" vertical="center" wrapText="1"/>
    </xf>
    <xf numFmtId="0" fontId="28" fillId="25" borderId="70" xfId="47" applyFont="1" applyFill="1" applyBorder="1" applyAlignment="1">
      <alignment horizontal="left" vertical="center"/>
    </xf>
    <xf numFmtId="0" fontId="28" fillId="25" borderId="161" xfId="47" applyFont="1" applyFill="1" applyBorder="1" applyAlignment="1">
      <alignment horizontal="left" vertical="center"/>
    </xf>
    <xf numFmtId="0" fontId="29" fillId="24" borderId="200" xfId="47" applyFont="1" applyFill="1" applyBorder="1" applyAlignment="1">
      <alignment horizontal="center" vertical="center"/>
    </xf>
    <xf numFmtId="0" fontId="29" fillId="24" borderId="251" xfId="47" applyFont="1" applyFill="1" applyBorder="1" applyAlignment="1">
      <alignment horizontal="center" vertical="center"/>
    </xf>
    <xf numFmtId="0" fontId="35" fillId="40" borderId="134" xfId="47" applyFont="1" applyFill="1" applyBorder="1" applyAlignment="1">
      <alignment horizontal="center" vertical="center" wrapText="1"/>
    </xf>
    <xf numFmtId="0" fontId="28" fillId="25" borderId="221" xfId="47" applyFont="1" applyFill="1" applyBorder="1" applyAlignment="1">
      <alignment horizontal="left" vertical="center"/>
    </xf>
    <xf numFmtId="0" fontId="28" fillId="25" borderId="21" xfId="47" applyFont="1" applyFill="1" applyBorder="1" applyAlignment="1">
      <alignment horizontal="left" vertical="center"/>
    </xf>
    <xf numFmtId="0" fontId="28" fillId="0" borderId="159" xfId="47" applyFont="1" applyFill="1" applyBorder="1" applyAlignment="1">
      <alignment horizontal="center" vertical="center"/>
    </xf>
    <xf numFmtId="0" fontId="28" fillId="0" borderId="195" xfId="47" applyFont="1" applyFill="1" applyBorder="1" applyAlignment="1">
      <alignment horizontal="center" vertical="center"/>
    </xf>
    <xf numFmtId="0" fontId="28" fillId="0" borderId="241" xfId="47" applyFont="1" applyFill="1" applyBorder="1" applyAlignment="1">
      <alignment horizontal="center" vertical="center"/>
    </xf>
    <xf numFmtId="0" fontId="28" fillId="0" borderId="196" xfId="47" applyFont="1" applyFill="1" applyBorder="1" applyAlignment="1">
      <alignment horizontal="center" vertical="center"/>
    </xf>
    <xf numFmtId="0" fontId="29" fillId="0" borderId="135" xfId="46" applyNumberFormat="1" applyFont="1" applyFill="1" applyBorder="1" applyAlignment="1">
      <alignment horizontal="center" vertical="center"/>
    </xf>
    <xf numFmtId="0" fontId="29" fillId="0" borderId="136" xfId="33" applyFont="1" applyFill="1" applyBorder="1" applyAlignment="1">
      <alignment horizontal="center" vertical="center"/>
    </xf>
    <xf numFmtId="0" fontId="29" fillId="0" borderId="72" xfId="33" applyFont="1" applyFill="1" applyBorder="1" applyAlignment="1">
      <alignment horizontal="center" vertical="center"/>
    </xf>
    <xf numFmtId="0" fontId="29" fillId="0" borderId="156" xfId="46" applyNumberFormat="1" applyFont="1" applyFill="1" applyBorder="1" applyAlignment="1">
      <alignment horizontal="center" vertical="center"/>
    </xf>
    <xf numFmtId="0" fontId="29" fillId="0" borderId="155" xfId="33" applyFont="1" applyFill="1" applyBorder="1" applyAlignment="1">
      <alignment horizontal="center" vertical="center"/>
    </xf>
    <xf numFmtId="0" fontId="29" fillId="0" borderId="174" xfId="33" applyFont="1" applyFill="1" applyBorder="1" applyAlignment="1">
      <alignment horizontal="center" vertical="center"/>
    </xf>
    <xf numFmtId="0" fontId="29" fillId="0" borderId="172" xfId="46" applyNumberFormat="1" applyFont="1" applyFill="1" applyBorder="1" applyAlignment="1">
      <alignment horizontal="center" vertical="center"/>
    </xf>
    <xf numFmtId="0" fontId="29" fillId="0" borderId="0" xfId="46" applyNumberFormat="1" applyFont="1" applyFill="1" applyBorder="1" applyAlignment="1">
      <alignment horizontal="center" vertical="center"/>
    </xf>
    <xf numFmtId="0" fontId="29" fillId="0" borderId="95" xfId="46" applyNumberFormat="1" applyFont="1" applyFill="1" applyBorder="1" applyAlignment="1">
      <alignment horizontal="center" vertical="center"/>
    </xf>
    <xf numFmtId="0" fontId="29" fillId="0" borderId="150" xfId="33" applyFont="1" applyFill="1" applyBorder="1" applyAlignment="1">
      <alignment horizontal="center" vertical="center"/>
    </xf>
    <xf numFmtId="0" fontId="29" fillId="0" borderId="93" xfId="33" applyFont="1" applyFill="1" applyBorder="1" applyAlignment="1">
      <alignment horizontal="center" vertical="center"/>
    </xf>
    <xf numFmtId="0" fontId="28" fillId="0" borderId="159" xfId="33" applyFont="1" applyFill="1" applyBorder="1" applyAlignment="1">
      <alignment horizontal="center" vertical="center"/>
    </xf>
    <xf numFmtId="0" fontId="28" fillId="0" borderId="145" xfId="33" applyFont="1" applyFill="1" applyBorder="1" applyAlignment="1">
      <alignment horizontal="center" vertical="center"/>
    </xf>
    <xf numFmtId="0" fontId="28" fillId="0" borderId="241" xfId="33" applyFont="1" applyFill="1" applyBorder="1" applyAlignment="1">
      <alignment horizontal="center" vertical="center"/>
    </xf>
    <xf numFmtId="0" fontId="28" fillId="0" borderId="146" xfId="33" applyFont="1" applyFill="1" applyBorder="1" applyAlignment="1">
      <alignment horizontal="center" vertical="center"/>
    </xf>
    <xf numFmtId="0" fontId="28" fillId="55" borderId="159" xfId="47" applyFont="1" applyFill="1" applyBorder="1" applyAlignment="1">
      <alignment horizontal="right" vertical="center"/>
    </xf>
    <xf numFmtId="0" fontId="28" fillId="55" borderId="195" xfId="47" applyFont="1" applyFill="1" applyBorder="1" applyAlignment="1">
      <alignment horizontal="right" vertical="center"/>
    </xf>
    <xf numFmtId="174" fontId="28" fillId="55" borderId="159" xfId="47" applyNumberFormat="1" applyFont="1" applyFill="1" applyBorder="1" applyAlignment="1">
      <alignment horizontal="center" vertical="center"/>
    </xf>
    <xf numFmtId="174" fontId="28" fillId="55" borderId="196" xfId="47" applyNumberFormat="1" applyFont="1" applyFill="1" applyBorder="1" applyAlignment="1">
      <alignment horizontal="center" vertical="center"/>
    </xf>
    <xf numFmtId="174" fontId="28" fillId="55" borderId="195" xfId="47" applyNumberFormat="1" applyFont="1" applyFill="1" applyBorder="1" applyAlignment="1">
      <alignment horizontal="center" vertical="center"/>
    </xf>
    <xf numFmtId="0" fontId="35" fillId="40" borderId="166" xfId="47" applyFont="1" applyFill="1" applyBorder="1" applyAlignment="1">
      <alignment horizontal="center" vertical="center" wrapText="1"/>
    </xf>
    <xf numFmtId="0" fontId="35" fillId="40" borderId="171" xfId="47" applyFont="1" applyFill="1" applyBorder="1" applyAlignment="1">
      <alignment horizontal="center" vertical="center" wrapText="1"/>
    </xf>
    <xf numFmtId="0" fontId="35" fillId="40" borderId="179" xfId="47" applyFont="1" applyFill="1" applyBorder="1" applyAlignment="1">
      <alignment horizontal="center" vertical="center" wrapText="1"/>
    </xf>
    <xf numFmtId="0" fontId="35" fillId="40" borderId="142" xfId="47" applyFont="1" applyFill="1" applyBorder="1" applyAlignment="1">
      <alignment horizontal="center" vertical="center" wrapText="1"/>
    </xf>
    <xf numFmtId="0" fontId="35" fillId="40" borderId="71"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0" fontId="35" fillId="40" borderId="210" xfId="47" applyFont="1" applyFill="1" applyBorder="1" applyAlignment="1">
      <alignment horizontal="center" vertical="center" wrapText="1"/>
    </xf>
    <xf numFmtId="0" fontId="35" fillId="40" borderId="161" xfId="47" applyFont="1" applyFill="1" applyBorder="1" applyAlignment="1">
      <alignment horizontal="center" vertical="center" wrapText="1"/>
    </xf>
    <xf numFmtId="0" fontId="47" fillId="0" borderId="215" xfId="0" applyFont="1" applyFill="1" applyBorder="1" applyAlignment="1">
      <alignment horizontal="center" vertical="center"/>
    </xf>
    <xf numFmtId="0" fontId="47" fillId="0" borderId="178" xfId="0" applyFont="1" applyFill="1" applyBorder="1" applyAlignment="1">
      <alignment horizontal="center" vertical="center"/>
    </xf>
    <xf numFmtId="0" fontId="32" fillId="40" borderId="216" xfId="47" applyFont="1" applyFill="1" applyBorder="1" applyAlignment="1">
      <alignment horizontal="center" vertical="center" wrapText="1"/>
    </xf>
    <xf numFmtId="0" fontId="35" fillId="40" borderId="58" xfId="47" applyFont="1" applyFill="1" applyBorder="1" applyAlignment="1">
      <alignment horizontal="center" vertical="center" wrapText="1"/>
    </xf>
    <xf numFmtId="0" fontId="35" fillId="40" borderId="87" xfId="47" applyFont="1" applyFill="1" applyBorder="1" applyAlignment="1">
      <alignment horizontal="center" vertical="center" wrapText="1"/>
    </xf>
    <xf numFmtId="0" fontId="35" fillId="40" borderId="91" xfId="47" applyFont="1" applyFill="1" applyBorder="1" applyAlignment="1">
      <alignment horizontal="center" vertical="center" wrapText="1"/>
    </xf>
    <xf numFmtId="0" fontId="39" fillId="40" borderId="217" xfId="47" applyFont="1" applyFill="1" applyBorder="1" applyAlignment="1">
      <alignment horizontal="center" vertical="center" wrapText="1"/>
    </xf>
    <xf numFmtId="0" fontId="35" fillId="40" borderId="150" xfId="47" applyFont="1" applyFill="1" applyBorder="1" applyAlignment="1">
      <alignment horizontal="center" vertical="center" wrapText="1"/>
    </xf>
    <xf numFmtId="0" fontId="35" fillId="40" borderId="93" xfId="47" applyFont="1" applyFill="1" applyBorder="1" applyAlignment="1">
      <alignment horizontal="center" vertical="center" wrapText="1"/>
    </xf>
    <xf numFmtId="0" fontId="35" fillId="40" borderId="204" xfId="47" applyFont="1" applyFill="1" applyBorder="1" applyAlignment="1">
      <alignment horizontal="center" vertical="center" wrapText="1"/>
    </xf>
    <xf numFmtId="0" fontId="35" fillId="40" borderId="211" xfId="47" applyFont="1" applyFill="1" applyBorder="1" applyAlignment="1">
      <alignment horizontal="center" vertical="center" wrapText="1"/>
    </xf>
    <xf numFmtId="0" fontId="28" fillId="58" borderId="159" xfId="47" applyFont="1" applyFill="1" applyBorder="1" applyAlignment="1">
      <alignment horizontal="right" vertical="center"/>
    </xf>
    <xf numFmtId="0" fontId="28" fillId="58" borderId="195" xfId="47" applyFont="1" applyFill="1" applyBorder="1" applyAlignment="1">
      <alignment horizontal="right" vertical="center"/>
    </xf>
    <xf numFmtId="0" fontId="28" fillId="58" borderId="196" xfId="47" applyFont="1" applyFill="1" applyBorder="1" applyAlignment="1">
      <alignment horizontal="right" vertical="center"/>
    </xf>
    <xf numFmtId="0" fontId="28" fillId="61" borderId="159" xfId="0" applyFont="1" applyFill="1" applyBorder="1" applyAlignment="1">
      <alignment horizontal="right"/>
    </xf>
    <xf numFmtId="0" fontId="28" fillId="61" borderId="195" xfId="0" applyFont="1" applyFill="1" applyBorder="1" applyAlignment="1">
      <alignment horizontal="right"/>
    </xf>
    <xf numFmtId="0" fontId="28" fillId="61" borderId="196" xfId="0" applyFont="1" applyFill="1" applyBorder="1" applyAlignment="1">
      <alignment horizontal="right"/>
    </xf>
    <xf numFmtId="174" fontId="28" fillId="25" borderId="159" xfId="47" applyNumberFormat="1" applyFont="1" applyFill="1" applyBorder="1" applyAlignment="1">
      <alignment horizontal="center" vertical="center"/>
    </xf>
    <xf numFmtId="174" fontId="28" fillId="25" borderId="196" xfId="47" applyNumberFormat="1" applyFont="1" applyFill="1" applyBorder="1" applyAlignment="1">
      <alignment horizontal="center" vertical="center"/>
    </xf>
    <xf numFmtId="0" fontId="32" fillId="40" borderId="214" xfId="33" applyFont="1" applyFill="1" applyBorder="1" applyAlignment="1">
      <alignment horizontal="center" vertical="center" wrapText="1"/>
    </xf>
    <xf numFmtId="0" fontId="32" fillId="40" borderId="215" xfId="33" applyFont="1" applyFill="1" applyBorder="1" applyAlignment="1">
      <alignment horizontal="center" vertical="center" wrapText="1"/>
    </xf>
    <xf numFmtId="0" fontId="32" fillId="40" borderId="178" xfId="33" applyFont="1" applyFill="1" applyBorder="1" applyAlignment="1">
      <alignment horizontal="center" vertical="center" wrapText="1"/>
    </xf>
    <xf numFmtId="0" fontId="32" fillId="40" borderId="181" xfId="33" applyFont="1" applyFill="1" applyBorder="1" applyAlignment="1">
      <alignment horizontal="center" vertical="center" wrapText="1"/>
    </xf>
    <xf numFmtId="0" fontId="32" fillId="40" borderId="183" xfId="33" applyFont="1" applyFill="1" applyBorder="1" applyAlignment="1">
      <alignment horizontal="center" vertical="center"/>
    </xf>
    <xf numFmtId="0" fontId="28" fillId="24" borderId="183" xfId="33" applyFont="1" applyFill="1" applyBorder="1" applyAlignment="1">
      <alignment horizontal="center" vertical="center" wrapText="1"/>
    </xf>
    <xf numFmtId="0" fontId="29" fillId="24" borderId="195" xfId="47" applyFont="1" applyFill="1" applyBorder="1" applyAlignment="1">
      <alignment horizontal="center" vertical="center"/>
    </xf>
    <xf numFmtId="0" fontId="29" fillId="24" borderId="196" xfId="47" applyFont="1" applyFill="1" applyBorder="1" applyAlignment="1">
      <alignment horizontal="center" vertical="center"/>
    </xf>
    <xf numFmtId="0" fontId="29" fillId="0" borderId="159" xfId="0" applyFont="1" applyFill="1" applyBorder="1" applyAlignment="1">
      <alignment horizontal="center" vertical="center"/>
    </xf>
    <xf numFmtId="0" fontId="29" fillId="0" borderId="195" xfId="0" applyFont="1" applyFill="1" applyBorder="1" applyAlignment="1">
      <alignment horizontal="center" vertical="center"/>
    </xf>
    <xf numFmtId="0" fontId="29" fillId="0" borderId="241" xfId="0" applyFont="1" applyFill="1" applyBorder="1" applyAlignment="1">
      <alignment horizontal="center" vertical="center"/>
    </xf>
    <xf numFmtId="0" fontId="29" fillId="0" borderId="196" xfId="0" applyFont="1" applyFill="1" applyBorder="1" applyAlignment="1">
      <alignment horizontal="center" vertical="center"/>
    </xf>
    <xf numFmtId="174" fontId="28" fillId="25" borderId="159" xfId="48" applyNumberFormat="1" applyFont="1" applyFill="1" applyBorder="1" applyAlignment="1">
      <alignment horizontal="center" vertical="center"/>
    </xf>
    <xf numFmtId="174" fontId="28" fillId="25" borderId="196" xfId="48" applyNumberFormat="1" applyFont="1" applyFill="1" applyBorder="1" applyAlignment="1">
      <alignment horizontal="center" vertical="center"/>
    </xf>
    <xf numFmtId="0" fontId="35" fillId="40" borderId="92" xfId="47" applyFont="1" applyFill="1" applyBorder="1" applyAlignment="1">
      <alignment horizontal="center" vertical="center" wrapText="1"/>
    </xf>
    <xf numFmtId="0" fontId="29" fillId="0" borderId="57" xfId="49" applyFont="1" applyBorder="1" applyAlignment="1" applyProtection="1">
      <alignment horizontal="left" vertical="center"/>
    </xf>
    <xf numFmtId="0" fontId="29" fillId="0" borderId="0" xfId="49" applyFont="1" applyBorder="1" applyAlignment="1" applyProtection="1">
      <alignment horizontal="left" vertical="center"/>
    </xf>
    <xf numFmtId="0" fontId="41" fillId="0" borderId="19" xfId="49" applyFont="1" applyBorder="1" applyAlignment="1" applyProtection="1">
      <alignment horizontal="left" vertical="center"/>
    </xf>
    <xf numFmtId="0" fontId="41" fillId="0" borderId="17" xfId="49" applyFont="1" applyBorder="1" applyAlignment="1" applyProtection="1">
      <alignment horizontal="left" vertical="center"/>
    </xf>
    <xf numFmtId="0" fontId="41" fillId="0" borderId="15"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9" fillId="0" borderId="15" xfId="49" applyFont="1" applyBorder="1" applyAlignment="1" applyProtection="1">
      <alignment horizontal="left" vertical="center"/>
    </xf>
    <xf numFmtId="0" fontId="28" fillId="33" borderId="34"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8" fillId="33" borderId="34"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53"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8" fillId="33" borderId="31" xfId="49" applyFont="1" applyFill="1" applyBorder="1" applyAlignment="1" applyProtection="1">
      <alignment horizontal="left" vertical="center"/>
    </xf>
    <xf numFmtId="0" fontId="28" fillId="32" borderId="47"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8" fillId="32" borderId="15" xfId="49" applyFont="1" applyFill="1" applyBorder="1" applyAlignment="1" applyProtection="1">
      <alignment horizontal="right" vertical="center"/>
    </xf>
    <xf numFmtId="0" fontId="28" fillId="35" borderId="47" xfId="49" applyFont="1" applyFill="1" applyBorder="1" applyAlignment="1" applyProtection="1">
      <alignment horizontal="center" vertical="center"/>
    </xf>
    <xf numFmtId="0" fontId="28" fillId="35" borderId="17" xfId="49" applyFont="1" applyFill="1" applyBorder="1" applyAlignment="1" applyProtection="1">
      <alignment horizontal="center" vertical="center"/>
    </xf>
    <xf numFmtId="0" fontId="28" fillId="35" borderId="18" xfId="49" applyFont="1" applyFill="1" applyBorder="1" applyAlignment="1" applyProtection="1">
      <alignment horizontal="center" vertical="center"/>
    </xf>
    <xf numFmtId="0" fontId="29" fillId="0" borderId="24" xfId="49" applyFont="1" applyBorder="1" applyAlignment="1" applyProtection="1">
      <alignment horizontal="left" vertical="center"/>
    </xf>
    <xf numFmtId="0" fontId="29" fillId="0" borderId="21" xfId="49" applyFont="1" applyBorder="1" applyAlignment="1" applyProtection="1">
      <alignment horizontal="left" vertical="center"/>
    </xf>
    <xf numFmtId="0" fontId="28" fillId="0" borderId="57"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5"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27" borderId="45" xfId="49" applyFont="1" applyFill="1" applyBorder="1" applyAlignment="1" applyProtection="1">
      <alignment horizontal="center" vertical="center"/>
    </xf>
    <xf numFmtId="0" fontId="28" fillId="27" borderId="15" xfId="49" applyFont="1" applyFill="1" applyBorder="1" applyAlignment="1" applyProtection="1">
      <alignment horizontal="center" vertical="center"/>
    </xf>
    <xf numFmtId="0" fontId="28" fillId="27" borderId="16" xfId="49" applyFont="1" applyFill="1" applyBorder="1" applyAlignment="1" applyProtection="1">
      <alignment horizontal="center" vertical="center"/>
    </xf>
    <xf numFmtId="0" fontId="28" fillId="27" borderId="46" xfId="49" applyFont="1" applyFill="1" applyBorder="1" applyAlignment="1" applyProtection="1">
      <alignment horizontal="center" vertical="center"/>
    </xf>
    <xf numFmtId="0" fontId="28" fillId="33" borderId="20" xfId="49" applyFont="1" applyFill="1" applyBorder="1" applyAlignment="1" applyProtection="1">
      <alignment horizontal="left" vertical="center"/>
    </xf>
    <xf numFmtId="0" fontId="28" fillId="33" borderId="21" xfId="49" applyFont="1" applyFill="1" applyBorder="1" applyAlignment="1" applyProtection="1">
      <alignment horizontal="left" vertical="center"/>
    </xf>
    <xf numFmtId="0" fontId="28" fillId="33" borderId="29" xfId="49" applyFont="1" applyFill="1" applyBorder="1" applyAlignment="1" applyProtection="1">
      <alignment horizontal="left" vertical="center"/>
    </xf>
    <xf numFmtId="0" fontId="28" fillId="32" borderId="45" xfId="49" applyFont="1" applyFill="1" applyBorder="1" applyAlignment="1" applyProtection="1">
      <alignment horizontal="right" vertical="center"/>
    </xf>
    <xf numFmtId="0" fontId="28" fillId="31" borderId="47" xfId="0" applyFont="1" applyFill="1" applyBorder="1" applyAlignment="1" applyProtection="1">
      <alignment horizontal="left" vertical="center"/>
    </xf>
    <xf numFmtId="0" fontId="28" fillId="31" borderId="17" xfId="0" applyFont="1" applyFill="1" applyBorder="1" applyAlignment="1" applyProtection="1">
      <alignment horizontal="left" vertical="center"/>
    </xf>
    <xf numFmtId="0" fontId="28" fillId="31" borderId="18" xfId="0" applyFont="1" applyFill="1" applyBorder="1" applyAlignment="1" applyProtection="1">
      <alignment horizontal="left" vertical="center"/>
    </xf>
    <xf numFmtId="0" fontId="29" fillId="0" borderId="24" xfId="0" applyFont="1" applyBorder="1" applyAlignment="1" applyProtection="1">
      <alignment horizontal="left" vertical="center"/>
    </xf>
    <xf numFmtId="0" fontId="29" fillId="0" borderId="21" xfId="0" applyFont="1" applyBorder="1" applyAlignment="1" applyProtection="1">
      <alignment horizontal="left" vertical="center"/>
    </xf>
    <xf numFmtId="0" fontId="28" fillId="32" borderId="45" xfId="0" applyFont="1" applyFill="1" applyBorder="1" applyAlignment="1" applyProtection="1">
      <alignment horizontal="right" vertical="center"/>
    </xf>
    <xf numFmtId="0" fontId="28" fillId="32" borderId="15" xfId="0" applyFont="1" applyFill="1" applyBorder="1" applyAlignment="1" applyProtection="1">
      <alignment horizontal="right" vertical="center"/>
    </xf>
    <xf numFmtId="0" fontId="28" fillId="32" borderId="47"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9" fillId="0" borderId="108" xfId="49" applyFont="1" applyBorder="1" applyAlignment="1" applyProtection="1">
      <alignment horizontal="left" vertical="center"/>
    </xf>
    <xf numFmtId="0" fontId="29" fillId="0" borderId="155" xfId="49" applyFont="1" applyBorder="1" applyAlignment="1" applyProtection="1">
      <alignment horizontal="left" vertical="center"/>
    </xf>
    <xf numFmtId="0" fontId="29" fillId="0" borderId="172" xfId="49" applyFont="1" applyBorder="1" applyAlignment="1" applyProtection="1">
      <alignment horizontal="left" vertical="center"/>
    </xf>
    <xf numFmtId="0" fontId="29" fillId="0" borderId="91" xfId="49" applyFont="1" applyBorder="1" applyAlignment="1" applyProtection="1">
      <alignment horizontal="left" vertical="center"/>
    </xf>
    <xf numFmtId="0" fontId="29" fillId="0" borderId="150" xfId="49" applyFont="1" applyBorder="1" applyAlignment="1" applyProtection="1">
      <alignment horizontal="left" vertical="center"/>
    </xf>
    <xf numFmtId="0" fontId="28" fillId="31" borderId="47" xfId="49" applyFont="1" applyFill="1" applyBorder="1" applyAlignment="1" applyProtection="1">
      <alignment horizontal="left" vertical="center"/>
    </xf>
    <xf numFmtId="0" fontId="28" fillId="31" borderId="17" xfId="49" applyFont="1" applyFill="1" applyBorder="1" applyAlignment="1" applyProtection="1">
      <alignment horizontal="left" vertical="center"/>
    </xf>
    <xf numFmtId="0" fontId="28" fillId="31" borderId="18" xfId="49" applyFont="1" applyFill="1" applyBorder="1" applyAlignment="1" applyProtection="1">
      <alignment horizontal="left" vertical="center"/>
    </xf>
    <xf numFmtId="0" fontId="41" fillId="0" borderId="24" xfId="49" applyFont="1" applyBorder="1" applyAlignment="1" applyProtection="1">
      <alignment horizontal="left" vertical="center"/>
    </xf>
    <xf numFmtId="0" fontId="41" fillId="0" borderId="21" xfId="49" applyFont="1" applyBorder="1" applyAlignment="1" applyProtection="1">
      <alignment horizontal="left" vertical="center"/>
    </xf>
    <xf numFmtId="0" fontId="29" fillId="0" borderId="57"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25"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25" xfId="49" applyFont="1" applyBorder="1" applyAlignment="1" applyProtection="1">
      <alignment horizontal="left" vertical="center"/>
    </xf>
    <xf numFmtId="0" fontId="29" fillId="0" borderId="12" xfId="49" applyFont="1" applyBorder="1" applyAlignment="1" applyProtection="1">
      <alignment horizontal="left" vertical="center"/>
    </xf>
    <xf numFmtId="0" fontId="29" fillId="0" borderId="57" xfId="49" applyFont="1" applyBorder="1" applyAlignment="1" applyProtection="1">
      <alignment vertical="center"/>
    </xf>
    <xf numFmtId="0" fontId="29" fillId="0" borderId="0" xfId="49" applyFont="1" applyBorder="1" applyAlignment="1" applyProtection="1">
      <alignment vertical="center"/>
    </xf>
    <xf numFmtId="0" fontId="29" fillId="0" borderId="24" xfId="0" applyFont="1" applyBorder="1" applyAlignment="1" applyProtection="1">
      <alignment vertical="center"/>
    </xf>
    <xf numFmtId="0" fontId="29" fillId="0" borderId="21" xfId="0" applyFont="1" applyBorder="1" applyAlignment="1" applyProtection="1">
      <alignment vertical="center"/>
    </xf>
    <xf numFmtId="0" fontId="29" fillId="0" borderId="57" xfId="0" applyFont="1" applyBorder="1" applyAlignment="1" applyProtection="1">
      <alignment vertical="center"/>
    </xf>
    <xf numFmtId="0" fontId="29" fillId="0" borderId="0" xfId="0" applyFont="1" applyBorder="1" applyAlignment="1" applyProtection="1">
      <alignment vertical="center"/>
    </xf>
    <xf numFmtId="0" fontId="29" fillId="0" borderId="57"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11" xfId="0" applyFont="1" applyBorder="1" applyAlignment="1" applyProtection="1">
      <alignment horizontal="left" vertical="center"/>
    </xf>
    <xf numFmtId="0" fontId="29" fillId="0" borderId="31" xfId="0" applyFont="1" applyBorder="1" applyAlignment="1" applyProtection="1">
      <alignment horizontal="left" vertical="center"/>
    </xf>
    <xf numFmtId="0" fontId="28" fillId="0" borderId="17" xfId="0" applyFont="1" applyBorder="1" applyAlignment="1" applyProtection="1">
      <alignment horizontal="right" vertical="center"/>
      <protection locked="0"/>
    </xf>
    <xf numFmtId="0" fontId="29" fillId="0" borderId="29" xfId="0" applyFont="1" applyBorder="1" applyAlignment="1" applyProtection="1">
      <alignment horizontal="left" vertical="center"/>
    </xf>
    <xf numFmtId="0" fontId="29" fillId="0" borderId="58" xfId="0" applyFont="1" applyBorder="1" applyAlignment="1" applyProtection="1">
      <alignment horizontal="left" vertical="center"/>
    </xf>
    <xf numFmtId="0" fontId="28" fillId="32" borderId="16" xfId="49" applyFont="1" applyFill="1" applyBorder="1" applyAlignment="1" applyProtection="1">
      <alignment horizontal="right" vertical="center"/>
    </xf>
    <xf numFmtId="0" fontId="29" fillId="0" borderId="26" xfId="0" applyFont="1" applyBorder="1" applyAlignment="1" applyProtection="1">
      <alignment horizontal="left" vertical="center"/>
    </xf>
    <xf numFmtId="0" fontId="28" fillId="0" borderId="47" xfId="49" applyFont="1" applyBorder="1" applyAlignment="1" applyProtection="1">
      <alignment horizontal="center" vertical="center" shrinkToFit="1"/>
    </xf>
    <xf numFmtId="0" fontId="28" fillId="0" borderId="17" xfId="49" applyFont="1" applyBorder="1" applyAlignment="1" applyProtection="1">
      <alignment horizontal="center" vertical="center" shrinkToFit="1"/>
    </xf>
    <xf numFmtId="0" fontId="28" fillId="0" borderId="18" xfId="49" applyFont="1" applyBorder="1" applyAlignment="1" applyProtection="1">
      <alignment horizontal="center" vertical="center" shrinkToFit="1"/>
    </xf>
    <xf numFmtId="0" fontId="28" fillId="31" borderId="16" xfId="49" applyFont="1" applyFill="1" applyBorder="1" applyAlignment="1" applyProtection="1">
      <alignment horizontal="center" vertical="center"/>
    </xf>
    <xf numFmtId="0" fontId="29" fillId="0" borderId="47" xfId="49" applyFont="1" applyBorder="1" applyAlignment="1" applyProtection="1">
      <alignment horizontal="right" vertical="center"/>
    </xf>
    <xf numFmtId="0" fontId="29" fillId="0" borderId="17" xfId="49" applyFont="1" applyBorder="1" applyAlignment="1" applyProtection="1">
      <alignment horizontal="right" vertical="center"/>
    </xf>
    <xf numFmtId="0" fontId="29" fillId="0" borderId="15" xfId="49" applyFont="1" applyBorder="1" applyAlignment="1" applyProtection="1">
      <alignment horizontal="right" vertical="center"/>
    </xf>
    <xf numFmtId="0" fontId="28" fillId="0" borderId="57" xfId="49" applyFont="1" applyBorder="1" applyAlignment="1" applyProtection="1">
      <alignment horizontal="center" vertical="center"/>
    </xf>
    <xf numFmtId="0" fontId="28" fillId="0" borderId="35" xfId="49" applyFont="1" applyBorder="1" applyAlignment="1" applyProtection="1">
      <alignment horizontal="center" vertical="center"/>
    </xf>
    <xf numFmtId="0" fontId="29" fillId="0" borderId="47"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9" fillId="0" borderId="15" xfId="49" applyFont="1" applyBorder="1" applyAlignment="1" applyProtection="1">
      <alignment horizontal="right" vertical="center" wrapText="1"/>
    </xf>
    <xf numFmtId="1" fontId="28" fillId="0" borderId="57" xfId="49" applyNumberFormat="1" applyFont="1" applyBorder="1" applyAlignment="1" applyProtection="1">
      <alignment horizontal="center" vertical="center"/>
    </xf>
    <xf numFmtId="1" fontId="28" fillId="0" borderId="35" xfId="49" applyNumberFormat="1" applyFont="1" applyBorder="1" applyAlignment="1" applyProtection="1">
      <alignment horizontal="center" vertical="center"/>
    </xf>
    <xf numFmtId="168" fontId="28" fillId="29" borderId="57" xfId="64" applyNumberFormat="1" applyFont="1" applyFill="1" applyBorder="1" applyAlignment="1" applyProtection="1">
      <alignment horizontal="center" vertical="center"/>
    </xf>
    <xf numFmtId="168" fontId="28" fillId="29" borderId="35" xfId="64" applyNumberFormat="1" applyFont="1" applyFill="1" applyBorder="1" applyAlignment="1" applyProtection="1">
      <alignment horizontal="center" vertical="center"/>
    </xf>
    <xf numFmtId="14" fontId="28" fillId="30" borderId="57" xfId="49" applyNumberFormat="1" applyFont="1" applyFill="1" applyBorder="1" applyAlignment="1" applyProtection="1">
      <alignment horizontal="center" vertical="center"/>
    </xf>
    <xf numFmtId="14" fontId="28" fillId="30" borderId="35" xfId="49" applyNumberFormat="1" applyFont="1" applyFill="1" applyBorder="1" applyAlignment="1" applyProtection="1">
      <alignment horizontal="center" vertical="center"/>
    </xf>
    <xf numFmtId="168" fontId="28" fillId="0" borderId="24" xfId="64" applyNumberFormat="1" applyFont="1" applyBorder="1" applyAlignment="1" applyProtection="1">
      <alignment horizontal="center" vertical="center"/>
    </xf>
    <xf numFmtId="168" fontId="28" fillId="0" borderId="22" xfId="64" applyNumberFormat="1" applyFont="1" applyBorder="1" applyAlignment="1" applyProtection="1">
      <alignment horizontal="center" vertical="center"/>
    </xf>
    <xf numFmtId="0" fontId="28" fillId="28" borderId="57" xfId="0" applyFont="1" applyFill="1" applyBorder="1" applyAlignment="1" applyProtection="1">
      <alignment horizontal="center" vertical="center"/>
    </xf>
    <xf numFmtId="0" fontId="28" fillId="28" borderId="35" xfId="0" applyFont="1" applyFill="1" applyBorder="1" applyAlignment="1" applyProtection="1">
      <alignment horizontal="center" vertical="center"/>
    </xf>
    <xf numFmtId="0" fontId="28" fillId="0" borderId="25" xfId="49" applyFont="1" applyBorder="1" applyAlignment="1" applyProtection="1">
      <alignment horizontal="center" vertical="center" wrapText="1"/>
    </xf>
    <xf numFmtId="0" fontId="28" fillId="0" borderId="23" xfId="49" applyFont="1" applyBorder="1" applyAlignment="1" applyProtection="1">
      <alignment horizontal="center" vertical="center" wrapText="1"/>
    </xf>
    <xf numFmtId="0" fontId="28" fillId="0" borderId="54" xfId="49" applyFont="1" applyBorder="1" applyAlignment="1" applyProtection="1">
      <alignment horizontal="left" vertical="center"/>
    </xf>
    <xf numFmtId="0" fontId="28" fillId="0" borderId="55"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4" xfId="49" applyFont="1" applyBorder="1" applyAlignment="1" applyProtection="1">
      <alignment horizontal="center" vertical="center"/>
    </xf>
    <xf numFmtId="0" fontId="28" fillId="0" borderId="56" xfId="49" applyFont="1" applyBorder="1" applyAlignment="1" applyProtection="1">
      <alignment horizontal="center" vertical="center"/>
    </xf>
    <xf numFmtId="0" fontId="28" fillId="0" borderId="34"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35" xfId="49" applyFont="1" applyBorder="1" applyAlignment="1" applyProtection="1">
      <alignment horizontal="justify" vertical="center"/>
    </xf>
    <xf numFmtId="0" fontId="28" fillId="0" borderId="40" xfId="49" applyFont="1" applyBorder="1" applyAlignment="1" applyProtection="1">
      <alignment horizontal="justify" vertical="center"/>
    </xf>
    <xf numFmtId="0" fontId="28" fillId="0" borderId="13" xfId="49" applyFont="1" applyBorder="1" applyAlignment="1" applyProtection="1">
      <alignment horizontal="justify" vertical="center"/>
    </xf>
    <xf numFmtId="0" fontId="28" fillId="0" borderId="14" xfId="49" applyFont="1" applyBorder="1" applyAlignment="1" applyProtection="1">
      <alignment horizontal="justify" vertical="center"/>
    </xf>
    <xf numFmtId="0" fontId="28" fillId="27" borderId="49" xfId="49" applyFont="1" applyFill="1" applyBorder="1" applyAlignment="1" applyProtection="1">
      <alignment horizontal="center" vertical="center" wrapText="1"/>
    </xf>
    <xf numFmtId="0" fontId="28" fillId="27" borderId="15" xfId="49" applyFont="1" applyFill="1" applyBorder="1" applyAlignment="1" applyProtection="1">
      <alignment horizontal="center" vertical="center" wrapText="1"/>
    </xf>
    <xf numFmtId="0" fontId="28" fillId="27" borderId="43" xfId="49" applyFont="1" applyFill="1" applyBorder="1" applyAlignment="1" applyProtection="1">
      <alignment horizontal="center" vertical="center" wrapText="1"/>
    </xf>
    <xf numFmtId="0" fontId="28" fillId="27" borderId="46" xfId="49" applyFont="1" applyFill="1" applyBorder="1" applyAlignment="1" applyProtection="1">
      <alignment horizontal="center" vertical="center" wrapText="1"/>
    </xf>
    <xf numFmtId="0" fontId="28" fillId="0" borderId="17" xfId="49" applyFont="1" applyBorder="1" applyAlignment="1" applyProtection="1">
      <alignment horizontal="center" vertical="center" wrapText="1"/>
    </xf>
    <xf numFmtId="0" fontId="28" fillId="0" borderId="18" xfId="49" applyFont="1" applyBorder="1" applyAlignment="1" applyProtection="1">
      <alignment horizontal="center" vertical="center" wrapText="1"/>
    </xf>
    <xf numFmtId="0" fontId="28" fillId="0" borderId="17" xfId="49" applyFont="1" applyBorder="1" applyAlignment="1" applyProtection="1">
      <alignment horizontal="center" vertical="center"/>
    </xf>
    <xf numFmtId="0" fontId="28" fillId="0" borderId="18" xfId="49" applyFont="1" applyBorder="1" applyAlignment="1" applyProtection="1">
      <alignment horizontal="center" vertical="center"/>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justify" vertical="center" wrapText="1"/>
    </xf>
    <xf numFmtId="0" fontId="28" fillId="0" borderId="21" xfId="49" applyFont="1" applyBorder="1" applyAlignment="1" applyProtection="1">
      <alignment horizontal="justify" vertical="center" wrapText="1"/>
    </xf>
    <xf numFmtId="0" fontId="28" fillId="0" borderId="22" xfId="49" applyFont="1" applyBorder="1" applyAlignment="1" applyProtection="1">
      <alignment horizontal="justify" vertical="center" wrapText="1"/>
    </xf>
    <xf numFmtId="0" fontId="28" fillId="0" borderId="53"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0" borderId="47" xfId="49" applyFont="1" applyBorder="1" applyAlignment="1" applyProtection="1">
      <alignment horizontal="center" vertical="center" wrapText="1"/>
    </xf>
    <xf numFmtId="0" fontId="32" fillId="43" borderId="218" xfId="0" applyFont="1" applyFill="1" applyBorder="1" applyAlignment="1">
      <alignment horizontal="right" vertical="center"/>
    </xf>
    <xf numFmtId="0" fontId="32" fillId="43" borderId="222" xfId="0" applyFont="1" applyFill="1" applyBorder="1" applyAlignment="1">
      <alignment horizontal="right" vertical="center"/>
    </xf>
    <xf numFmtId="0" fontId="32" fillId="43" borderId="226" xfId="0" applyFont="1" applyFill="1" applyBorder="1" applyAlignment="1">
      <alignment horizontal="right" vertical="center"/>
    </xf>
    <xf numFmtId="0" fontId="32" fillId="52" borderId="44" xfId="0" applyFont="1" applyFill="1" applyBorder="1" applyAlignment="1">
      <alignment horizontal="right" vertical="center"/>
    </xf>
    <xf numFmtId="0" fontId="32" fillId="52" borderId="63" xfId="0" applyFont="1" applyFill="1" applyBorder="1" applyAlignment="1">
      <alignment horizontal="right" vertical="center"/>
    </xf>
    <xf numFmtId="0" fontId="32" fillId="62" borderId="44" xfId="0" applyFont="1" applyFill="1" applyBorder="1" applyAlignment="1">
      <alignment horizontal="right" vertical="center"/>
    </xf>
    <xf numFmtId="0" fontId="32" fillId="62" borderId="63" xfId="0" applyFont="1" applyFill="1" applyBorder="1" applyAlignment="1">
      <alignment horizontal="right" vertical="center"/>
    </xf>
    <xf numFmtId="0" fontId="32" fillId="52" borderId="201" xfId="0" applyFont="1" applyFill="1" applyBorder="1" applyAlignment="1">
      <alignment horizontal="right" vertical="center" shrinkToFit="1"/>
    </xf>
    <xf numFmtId="0" fontId="32" fillId="52" borderId="202" xfId="0" applyFont="1" applyFill="1" applyBorder="1" applyAlignment="1">
      <alignment horizontal="right" vertical="center" shrinkToFit="1"/>
    </xf>
    <xf numFmtId="0" fontId="32" fillId="62" borderId="201" xfId="0" applyFont="1" applyFill="1" applyBorder="1" applyAlignment="1">
      <alignment horizontal="right" vertical="center"/>
    </xf>
    <xf numFmtId="0" fontId="32" fillId="62" borderId="202" xfId="0" applyFont="1" applyFill="1" applyBorder="1" applyAlignment="1">
      <alignment horizontal="right" vertical="center"/>
    </xf>
    <xf numFmtId="0" fontId="43" fillId="42" borderId="73" xfId="0" applyFont="1" applyFill="1" applyBorder="1" applyAlignment="1" applyProtection="1">
      <alignment horizontal="left" vertical="center" wrapText="1"/>
    </xf>
    <xf numFmtId="0" fontId="43" fillId="42" borderId="179" xfId="0" applyFont="1" applyFill="1" applyBorder="1" applyAlignment="1" applyProtection="1">
      <alignment horizontal="left" vertical="center" wrapText="1"/>
    </xf>
    <xf numFmtId="0" fontId="43" fillId="42" borderId="182" xfId="0" applyFont="1" applyFill="1" applyBorder="1" applyAlignment="1" applyProtection="1">
      <alignment horizontal="left" vertical="center" wrapText="1"/>
    </xf>
    <xf numFmtId="0" fontId="32" fillId="0" borderId="102" xfId="0" applyFont="1" applyBorder="1" applyAlignment="1">
      <alignment horizontal="left" vertical="center"/>
    </xf>
    <xf numFmtId="0" fontId="32" fillId="0" borderId="0" xfId="0" applyFont="1" applyBorder="1" applyAlignment="1">
      <alignment horizontal="left" vertical="center"/>
    </xf>
    <xf numFmtId="0" fontId="32" fillId="0" borderId="35" xfId="0" applyFont="1" applyBorder="1" applyAlignment="1">
      <alignment horizontal="left" vertical="center"/>
    </xf>
    <xf numFmtId="0" fontId="33" fillId="42" borderId="102" xfId="0" applyFont="1" applyFill="1" applyBorder="1" applyAlignment="1" applyProtection="1">
      <alignment horizontal="left" vertical="center"/>
    </xf>
    <xf numFmtId="0" fontId="33" fillId="42" borderId="0" xfId="0" applyFont="1" applyFill="1" applyBorder="1" applyAlignment="1" applyProtection="1">
      <alignment horizontal="left" vertical="center"/>
    </xf>
    <xf numFmtId="0" fontId="33" fillId="42" borderId="35" xfId="0" applyFont="1" applyFill="1" applyBorder="1" applyAlignment="1" applyProtection="1">
      <alignment horizontal="left" vertical="center"/>
    </xf>
    <xf numFmtId="0" fontId="32" fillId="42" borderId="102"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5" xfId="0" applyFont="1" applyFill="1" applyBorder="1" applyAlignment="1" applyProtection="1">
      <alignment horizontal="left" vertical="center" wrapText="1"/>
    </xf>
    <xf numFmtId="0" fontId="32" fillId="42" borderId="102"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5" xfId="0" applyFont="1" applyFill="1" applyBorder="1" applyAlignment="1" applyProtection="1">
      <alignment horizontal="left" vertic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26" xfId="0" applyFont="1" applyFill="1" applyBorder="1" applyAlignment="1" applyProtection="1">
      <alignment horizontal="center" vertical="center" wrapText="1"/>
    </xf>
    <xf numFmtId="0" fontId="28" fillId="43" borderId="127" xfId="0" applyFont="1" applyFill="1" applyBorder="1" applyAlignment="1" applyProtection="1">
      <alignment horizontal="center" vertical="center" wrapText="1"/>
    </xf>
    <xf numFmtId="0" fontId="28" fillId="45" borderId="97" xfId="0" applyFont="1" applyFill="1" applyBorder="1" applyAlignment="1">
      <alignment horizontal="right" vertical="center"/>
    </xf>
    <xf numFmtId="0" fontId="28" fillId="45" borderId="98" xfId="0" applyFont="1" applyFill="1" applyBorder="1" applyAlignment="1">
      <alignment horizontal="right" vertical="center"/>
    </xf>
    <xf numFmtId="0" fontId="28" fillId="45" borderId="109" xfId="0" applyFont="1" applyFill="1" applyBorder="1" applyAlignment="1">
      <alignment horizontal="right" vertical="center"/>
    </xf>
    <xf numFmtId="0" fontId="28" fillId="45" borderId="110" xfId="0" applyFont="1" applyFill="1" applyBorder="1" applyAlignment="1">
      <alignment horizontal="right" vertical="center"/>
    </xf>
    <xf numFmtId="0" fontId="28" fillId="45" borderId="44" xfId="0" applyFont="1" applyFill="1" applyBorder="1" applyAlignment="1">
      <alignment horizontal="right" vertical="center"/>
    </xf>
    <xf numFmtId="0" fontId="28" fillId="45" borderId="63" xfId="0" applyFont="1" applyFill="1" applyBorder="1" applyAlignment="1">
      <alignment horizontal="right" vertical="center"/>
    </xf>
    <xf numFmtId="0" fontId="32" fillId="43" borderId="123" xfId="0" applyFont="1" applyFill="1" applyBorder="1" applyAlignment="1">
      <alignment horizontal="right" vertical="center"/>
    </xf>
    <xf numFmtId="0" fontId="32" fillId="43" borderId="124" xfId="0" applyFont="1" applyFill="1" applyBorder="1" applyAlignment="1">
      <alignment horizontal="right" vertical="center"/>
    </xf>
    <xf numFmtId="1" fontId="33" fillId="42" borderId="79" xfId="0" applyNumberFormat="1" applyFont="1" applyFill="1" applyBorder="1" applyAlignment="1">
      <alignment horizontal="center" vertical="center"/>
    </xf>
    <xf numFmtId="1" fontId="33" fillId="42" borderId="6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2" fillId="22" borderId="102"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35" xfId="0" applyFont="1" applyFill="1" applyBorder="1" applyAlignment="1" applyProtection="1">
      <alignment horizontal="center" vertical="center" wrapText="1"/>
      <protection locked="0"/>
    </xf>
    <xf numFmtId="0" fontId="32" fillId="65" borderId="224" xfId="0" applyFont="1" applyFill="1" applyBorder="1" applyAlignment="1">
      <alignment horizontal="right" vertical="center"/>
    </xf>
    <xf numFmtId="0" fontId="32" fillId="65" borderId="225" xfId="0" applyFont="1" applyFill="1" applyBorder="1" applyAlignment="1">
      <alignment horizontal="right" vertical="center"/>
    </xf>
    <xf numFmtId="0" fontId="32" fillId="0" borderId="81" xfId="0" applyFont="1" applyBorder="1" applyAlignment="1" applyProtection="1">
      <alignment horizontal="center" vertical="center" wrapText="1"/>
    </xf>
    <xf numFmtId="0" fontId="32" fillId="0" borderId="89" xfId="0" applyFont="1" applyBorder="1" applyAlignment="1" applyProtection="1">
      <alignment horizontal="center" vertical="center" wrapText="1"/>
    </xf>
    <xf numFmtId="0" fontId="32" fillId="0" borderId="83" xfId="0" applyFont="1" applyBorder="1" applyAlignment="1" applyProtection="1">
      <alignment horizontal="center" vertical="center" wrapText="1"/>
    </xf>
    <xf numFmtId="0" fontId="32" fillId="39" borderId="73" xfId="49" applyFont="1" applyFill="1" applyBorder="1" applyAlignment="1" applyProtection="1">
      <alignment horizontal="center" vertical="center"/>
    </xf>
    <xf numFmtId="0" fontId="32" fillId="39" borderId="74" xfId="49" applyFont="1" applyFill="1" applyBorder="1" applyAlignment="1" applyProtection="1">
      <alignment horizontal="center" vertical="center"/>
    </xf>
    <xf numFmtId="0" fontId="32" fillId="39" borderId="75" xfId="49" applyFont="1" applyFill="1" applyBorder="1" applyAlignment="1" applyProtection="1">
      <alignment horizontal="center" vertical="center"/>
    </xf>
    <xf numFmtId="0" fontId="32" fillId="0" borderId="84" xfId="33" applyFont="1" applyBorder="1" applyAlignment="1">
      <alignment horizontal="center" vertical="center" wrapText="1"/>
    </xf>
    <xf numFmtId="0" fontId="32" fillId="0" borderId="85" xfId="33" applyFont="1" applyBorder="1" applyAlignment="1">
      <alignment horizontal="center" vertical="center" wrapText="1"/>
    </xf>
    <xf numFmtId="0" fontId="32" fillId="0" borderId="86" xfId="33" applyFont="1" applyBorder="1" applyAlignment="1">
      <alignment horizontal="center" vertical="center" wrapText="1"/>
    </xf>
    <xf numFmtId="0" fontId="28" fillId="43" borderId="140" xfId="0" applyFont="1" applyFill="1" applyBorder="1" applyAlignment="1">
      <alignment horizontal="center" vertical="center" wrapText="1"/>
    </xf>
    <xf numFmtId="0" fontId="28" fillId="43" borderId="127" xfId="0" applyFont="1" applyFill="1" applyBorder="1" applyAlignment="1">
      <alignment horizontal="center" vertical="center" wrapText="1"/>
    </xf>
    <xf numFmtId="0" fontId="28" fillId="43" borderId="128" xfId="0" applyFont="1" applyFill="1" applyBorder="1" applyAlignment="1" applyProtection="1">
      <alignment horizontal="center" vertical="center" wrapText="1"/>
    </xf>
    <xf numFmtId="0" fontId="28" fillId="43" borderId="139" xfId="0" applyFont="1" applyFill="1" applyBorder="1" applyAlignment="1">
      <alignment horizontal="center" vertical="center"/>
    </xf>
    <xf numFmtId="0" fontId="28" fillId="43" borderId="126" xfId="0" applyFont="1" applyFill="1" applyBorder="1" applyAlignment="1">
      <alignment horizontal="center" vertical="center"/>
    </xf>
    <xf numFmtId="0" fontId="28" fillId="43" borderId="140" xfId="0" applyFont="1" applyFill="1" applyBorder="1" applyAlignment="1">
      <alignment horizontal="center" vertical="center"/>
    </xf>
    <xf numFmtId="0" fontId="28" fillId="43" borderId="127" xfId="0" applyFont="1" applyFill="1" applyBorder="1" applyAlignment="1">
      <alignment horizontal="center" vertical="center"/>
    </xf>
    <xf numFmtId="0" fontId="28" fillId="43" borderId="141" xfId="0" applyFont="1" applyFill="1" applyBorder="1" applyAlignment="1">
      <alignment horizontal="center" vertical="center" wrapText="1"/>
    </xf>
    <xf numFmtId="0" fontId="28" fillId="43" borderId="128" xfId="0" applyFont="1" applyFill="1" applyBorder="1" applyAlignment="1">
      <alignment horizontal="center" vertical="center" wrapText="1"/>
    </xf>
    <xf numFmtId="0" fontId="32" fillId="0" borderId="159" xfId="0" applyFont="1" applyBorder="1" applyAlignment="1">
      <alignment horizontal="center"/>
    </xf>
    <xf numFmtId="0" fontId="32" fillId="0" borderId="195" xfId="0" applyFont="1" applyBorder="1" applyAlignment="1">
      <alignment horizontal="center"/>
    </xf>
    <xf numFmtId="0" fontId="32" fillId="0" borderId="196" xfId="0" applyFont="1" applyBorder="1" applyAlignment="1">
      <alignment horizontal="center"/>
    </xf>
    <xf numFmtId="0" fontId="32" fillId="43" borderId="161" xfId="0" applyFont="1" applyFill="1" applyBorder="1" applyAlignment="1">
      <alignment horizontal="right" vertical="center"/>
    </xf>
    <xf numFmtId="0" fontId="32" fillId="43" borderId="160" xfId="0" applyFont="1" applyFill="1" applyBorder="1" applyAlignment="1">
      <alignment horizontal="right" vertical="center"/>
    </xf>
    <xf numFmtId="0" fontId="32" fillId="43" borderId="191" xfId="0" applyFont="1" applyFill="1" applyBorder="1" applyAlignment="1">
      <alignment horizontal="right" vertical="center"/>
    </xf>
    <xf numFmtId="0" fontId="32" fillId="43" borderId="192" xfId="0" applyFont="1" applyFill="1" applyBorder="1" applyAlignment="1">
      <alignment horizontal="right" vertical="center"/>
    </xf>
    <xf numFmtId="0" fontId="32" fillId="43" borderId="236" xfId="0" applyFont="1" applyFill="1" applyBorder="1" applyAlignment="1">
      <alignment horizontal="right" vertical="center"/>
    </xf>
    <xf numFmtId="0" fontId="32" fillId="43" borderId="246" xfId="0" applyFont="1" applyFill="1" applyBorder="1" applyAlignment="1">
      <alignment horizontal="right" vertical="center"/>
    </xf>
    <xf numFmtId="0" fontId="32" fillId="43" borderId="44" xfId="0" applyFont="1" applyFill="1" applyBorder="1" applyAlignment="1">
      <alignment horizontal="right" vertical="center"/>
    </xf>
    <xf numFmtId="0" fontId="32" fillId="43" borderId="63" xfId="0" applyFont="1" applyFill="1" applyBorder="1" applyAlignment="1">
      <alignment horizontal="right" vertical="center"/>
    </xf>
    <xf numFmtId="0" fontId="32" fillId="43" borderId="229" xfId="0" applyFont="1" applyFill="1" applyBorder="1" applyAlignment="1">
      <alignment horizontal="right" vertical="center"/>
    </xf>
    <xf numFmtId="0" fontId="32" fillId="43" borderId="230" xfId="0" applyFont="1" applyFill="1" applyBorder="1" applyAlignment="1">
      <alignment horizontal="right" vertical="center"/>
    </xf>
    <xf numFmtId="0" fontId="28" fillId="32" borderId="311" xfId="49" applyFont="1" applyFill="1" applyBorder="1" applyAlignment="1" applyProtection="1">
      <alignment horizontal="right" vertical="center"/>
    </xf>
    <xf numFmtId="0" fontId="28" fillId="32" borderId="312" xfId="49" applyFont="1" applyFill="1" applyBorder="1" applyAlignment="1" applyProtection="1">
      <alignment horizontal="right" vertical="center"/>
    </xf>
    <xf numFmtId="0" fontId="28" fillId="32" borderId="313" xfId="49" applyFont="1" applyFill="1" applyBorder="1" applyAlignment="1" applyProtection="1">
      <alignment horizontal="right" vertical="center"/>
    </xf>
    <xf numFmtId="0" fontId="28" fillId="35" borderId="311" xfId="49" applyFont="1" applyFill="1" applyBorder="1" applyAlignment="1" applyProtection="1">
      <alignment horizontal="center" vertical="center"/>
    </xf>
    <xf numFmtId="0" fontId="28" fillId="35" borderId="312" xfId="49" applyFont="1" applyFill="1" applyBorder="1" applyAlignment="1" applyProtection="1">
      <alignment horizontal="center" vertical="center"/>
    </xf>
    <xf numFmtId="0" fontId="28" fillId="35" borderId="320" xfId="49" applyFont="1" applyFill="1" applyBorder="1" applyAlignment="1" applyProtection="1">
      <alignment horizontal="center" vertical="center"/>
    </xf>
    <xf numFmtId="0" fontId="28" fillId="36" borderId="0" xfId="49" applyFont="1" applyFill="1" applyBorder="1" applyAlignment="1" applyProtection="1">
      <alignment horizontal="left" vertical="center"/>
    </xf>
    <xf numFmtId="0" fontId="28" fillId="36" borderId="191" xfId="49" applyFont="1" applyFill="1" applyBorder="1" applyAlignment="1" applyProtection="1">
      <alignment horizontal="left" vertical="center" shrinkToFit="1"/>
    </xf>
    <xf numFmtId="0" fontId="28" fillId="33" borderId="183" xfId="49" applyFont="1" applyFill="1" applyBorder="1" applyAlignment="1" applyProtection="1">
      <alignment horizontal="left" vertical="center"/>
    </xf>
    <xf numFmtId="0" fontId="28" fillId="33" borderId="183" xfId="49" applyFont="1" applyFill="1" applyBorder="1" applyAlignment="1" applyProtection="1">
      <alignment horizontal="right" vertical="center"/>
    </xf>
    <xf numFmtId="0" fontId="28" fillId="33" borderId="92" xfId="49" applyFont="1" applyFill="1" applyBorder="1" applyAlignment="1" applyProtection="1">
      <alignment horizontal="left" vertical="center"/>
    </xf>
    <xf numFmtId="0" fontId="28" fillId="33" borderId="152" xfId="49" applyFont="1" applyFill="1" applyBorder="1" applyAlignment="1" applyProtection="1">
      <alignment horizontal="left" vertical="center"/>
    </xf>
    <xf numFmtId="0" fontId="29" fillId="0" borderId="11" xfId="49" applyFont="1" applyBorder="1" applyAlignment="1" applyProtection="1">
      <alignment horizontal="left" vertical="center"/>
    </xf>
    <xf numFmtId="0" fontId="28" fillId="0" borderId="91" xfId="49" applyFont="1" applyBorder="1" applyAlignment="1" applyProtection="1">
      <alignment horizontal="right" vertical="center"/>
    </xf>
    <xf numFmtId="0" fontId="28" fillId="27" borderId="315" xfId="49" applyFont="1" applyFill="1" applyBorder="1" applyAlignment="1" applyProtection="1">
      <alignment horizontal="center" vertical="center"/>
    </xf>
    <xf numFmtId="0" fontId="28" fillId="27" borderId="313" xfId="49" applyFont="1" applyFill="1" applyBorder="1" applyAlignment="1" applyProtection="1">
      <alignment horizontal="center" vertical="center"/>
    </xf>
    <xf numFmtId="0" fontId="28" fillId="27" borderId="314" xfId="49" applyFont="1" applyFill="1" applyBorder="1" applyAlignment="1" applyProtection="1">
      <alignment horizontal="center" vertical="center"/>
    </xf>
    <xf numFmtId="0" fontId="28" fillId="27" borderId="316" xfId="49" applyFont="1" applyFill="1" applyBorder="1" applyAlignment="1" applyProtection="1">
      <alignment horizontal="center" vertical="center"/>
    </xf>
    <xf numFmtId="0" fontId="28" fillId="33" borderId="322" xfId="49" applyFont="1" applyFill="1" applyBorder="1" applyAlignment="1" applyProtection="1">
      <alignment horizontal="left" vertical="center"/>
    </xf>
    <xf numFmtId="0" fontId="28" fillId="33" borderId="326" xfId="49" applyFont="1" applyFill="1" applyBorder="1" applyAlignment="1" applyProtection="1">
      <alignment horizontal="left" vertical="center"/>
    </xf>
    <xf numFmtId="0" fontId="29" fillId="0" borderId="325" xfId="49" applyFont="1" applyBorder="1" applyAlignment="1" applyProtection="1">
      <alignment horizontal="left" vertical="center"/>
    </xf>
    <xf numFmtId="0" fontId="28" fillId="0" borderId="172" xfId="49" applyFont="1" applyBorder="1" applyAlignment="1" applyProtection="1">
      <alignment horizontal="left" vertical="center"/>
    </xf>
    <xf numFmtId="0" fontId="29" fillId="0" borderId="91" xfId="49" applyFont="1" applyFill="1" applyBorder="1" applyAlignment="1" applyProtection="1">
      <alignment horizontal="left" vertical="center"/>
    </xf>
    <xf numFmtId="0" fontId="29" fillId="0" borderId="12" xfId="49" applyFont="1" applyFill="1" applyBorder="1" applyAlignment="1" applyProtection="1">
      <alignment horizontal="left" vertical="center"/>
    </xf>
    <xf numFmtId="0" fontId="28" fillId="32" borderId="311" xfId="0" applyFont="1" applyFill="1" applyBorder="1" applyAlignment="1" applyProtection="1">
      <alignment horizontal="right" vertical="center"/>
    </xf>
    <xf numFmtId="0" fontId="28" fillId="32" borderId="312" xfId="0" applyFont="1" applyFill="1" applyBorder="1" applyAlignment="1" applyProtection="1">
      <alignment horizontal="right" vertical="center"/>
    </xf>
    <xf numFmtId="0" fontId="28" fillId="32" borderId="313" xfId="0" applyFont="1" applyFill="1" applyBorder="1" applyAlignment="1" applyProtection="1">
      <alignment horizontal="right" vertical="center"/>
    </xf>
    <xf numFmtId="0" fontId="29" fillId="0" borderId="325" xfId="49" applyFont="1" applyFill="1" applyBorder="1" applyAlignment="1" applyProtection="1">
      <alignment horizontal="left" vertical="center"/>
    </xf>
    <xf numFmtId="0" fontId="29" fillId="0" borderId="21" xfId="49" applyFont="1" applyFill="1" applyBorder="1" applyAlignment="1" applyProtection="1">
      <alignment horizontal="left" vertical="center"/>
    </xf>
    <xf numFmtId="0" fontId="29" fillId="0" borderId="172" xfId="49" applyFont="1" applyFill="1" applyBorder="1" applyAlignment="1" applyProtection="1">
      <alignment horizontal="left" vertical="center"/>
    </xf>
    <xf numFmtId="0" fontId="29" fillId="0" borderId="0" xfId="49" applyFont="1" applyFill="1" applyBorder="1" applyAlignment="1" applyProtection="1">
      <alignment horizontal="left" vertical="center"/>
    </xf>
    <xf numFmtId="0" fontId="28" fillId="32" borderId="315" xfId="0" applyFont="1" applyFill="1" applyBorder="1" applyAlignment="1" applyProtection="1">
      <alignment horizontal="right" vertical="center"/>
    </xf>
    <xf numFmtId="0" fontId="41" fillId="0" borderId="325" xfId="49" applyFont="1" applyBorder="1" applyAlignment="1" applyProtection="1">
      <alignment horizontal="left" vertical="center"/>
    </xf>
    <xf numFmtId="0" fontId="41" fillId="0" borderId="321" xfId="49" applyFont="1" applyBorder="1" applyAlignment="1" applyProtection="1">
      <alignment horizontal="left" vertical="center"/>
    </xf>
    <xf numFmtId="0" fontId="41" fillId="0" borderId="312" xfId="49" applyFont="1" applyBorder="1" applyAlignment="1" applyProtection="1">
      <alignment horizontal="left" vertical="center"/>
    </xf>
    <xf numFmtId="0" fontId="41" fillId="0" borderId="313" xfId="49" applyFont="1" applyBorder="1" applyAlignment="1" applyProtection="1">
      <alignment horizontal="left" vertical="center"/>
    </xf>
    <xf numFmtId="0" fontId="28" fillId="32" borderId="315" xfId="49" applyFont="1" applyFill="1" applyBorder="1" applyAlignment="1" applyProtection="1">
      <alignment horizontal="right" vertical="center"/>
    </xf>
    <xf numFmtId="0" fontId="28" fillId="31" borderId="311" xfId="0" applyFont="1" applyFill="1" applyBorder="1" applyAlignment="1" applyProtection="1">
      <alignment horizontal="left" vertical="center"/>
    </xf>
    <xf numFmtId="0" fontId="28" fillId="31" borderId="312" xfId="0" applyFont="1" applyFill="1" applyBorder="1" applyAlignment="1" applyProtection="1">
      <alignment horizontal="left" vertical="center"/>
    </xf>
    <xf numFmtId="0" fontId="28" fillId="31" borderId="320" xfId="0" applyFont="1" applyFill="1" applyBorder="1" applyAlignment="1" applyProtection="1">
      <alignment horizontal="left" vertical="center"/>
    </xf>
    <xf numFmtId="0" fontId="29" fillId="0" borderId="325" xfId="0" applyFont="1" applyBorder="1" applyAlignment="1" applyProtection="1">
      <alignment horizontal="left" vertical="center"/>
    </xf>
    <xf numFmtId="0" fontId="29" fillId="0" borderId="321" xfId="0" applyFont="1" applyBorder="1" applyAlignment="1" applyProtection="1">
      <alignment horizontal="left" vertical="center"/>
    </xf>
    <xf numFmtId="0" fontId="29" fillId="0" borderId="312" xfId="0" applyFont="1" applyBorder="1" applyAlignment="1" applyProtection="1">
      <alignment horizontal="left" vertical="center"/>
    </xf>
    <xf numFmtId="0" fontId="29" fillId="0" borderId="313" xfId="0" applyFont="1" applyBorder="1" applyAlignment="1" applyProtection="1">
      <alignment horizontal="left" vertical="center"/>
    </xf>
    <xf numFmtId="0" fontId="28" fillId="31" borderId="311" xfId="49" applyFont="1" applyFill="1" applyBorder="1" applyAlignment="1" applyProtection="1">
      <alignment horizontal="left" vertical="center"/>
    </xf>
    <xf numFmtId="0" fontId="28" fillId="31" borderId="312" xfId="49" applyFont="1" applyFill="1" applyBorder="1" applyAlignment="1" applyProtection="1">
      <alignment horizontal="left" vertical="center"/>
    </xf>
    <xf numFmtId="0" fontId="28" fillId="31" borderId="320" xfId="49" applyFont="1" applyFill="1" applyBorder="1" applyAlignment="1" applyProtection="1">
      <alignment horizontal="left" vertical="center"/>
    </xf>
    <xf numFmtId="0" fontId="29" fillId="0" borderId="172" xfId="0" applyFont="1" applyBorder="1" applyAlignment="1" applyProtection="1">
      <alignment horizontal="left" vertical="center"/>
    </xf>
    <xf numFmtId="0" fontId="41" fillId="0" borderId="172" xfId="0" applyFont="1" applyBorder="1" applyAlignment="1" applyProtection="1">
      <alignment horizontal="left" vertical="center"/>
    </xf>
    <xf numFmtId="0" fontId="41" fillId="0" borderId="0" xfId="0" applyFont="1" applyBorder="1" applyAlignment="1" applyProtection="1">
      <alignment horizontal="left" vertical="center"/>
    </xf>
    <xf numFmtId="0" fontId="29" fillId="0" borderId="91" xfId="0" applyFont="1" applyBorder="1" applyAlignment="1" applyProtection="1">
      <alignment horizontal="left" vertical="center"/>
    </xf>
    <xf numFmtId="0" fontId="41" fillId="0" borderId="325" xfId="0" applyFont="1" applyBorder="1" applyAlignment="1" applyProtection="1">
      <alignment horizontal="left" vertical="center"/>
    </xf>
    <xf numFmtId="0" fontId="41" fillId="0" borderId="21" xfId="0" applyFont="1" applyBorder="1" applyAlignment="1" applyProtection="1">
      <alignment horizontal="left" vertical="center"/>
    </xf>
    <xf numFmtId="0" fontId="28" fillId="32" borderId="321" xfId="49" applyFont="1" applyFill="1" applyBorder="1" applyAlignment="1" applyProtection="1">
      <alignment horizontal="right" vertical="center"/>
    </xf>
    <xf numFmtId="0" fontId="29" fillId="0" borderId="172" xfId="49" applyFont="1" applyBorder="1" applyAlignment="1" applyProtection="1">
      <alignment vertical="center"/>
    </xf>
    <xf numFmtId="0" fontId="29" fillId="0" borderId="172" xfId="0" applyFont="1" applyBorder="1" applyAlignment="1" applyProtection="1">
      <alignment vertical="center"/>
    </xf>
    <xf numFmtId="0" fontId="29" fillId="0" borderId="91" xfId="0" applyFont="1" applyBorder="1" applyAlignment="1" applyProtection="1">
      <alignment vertical="center"/>
    </xf>
    <xf numFmtId="0" fontId="29" fillId="0" borderId="12" xfId="0" applyFont="1" applyBorder="1" applyAlignment="1" applyProtection="1">
      <alignment vertical="center"/>
    </xf>
    <xf numFmtId="0" fontId="29" fillId="0" borderId="325" xfId="49" applyFont="1" applyBorder="1" applyAlignment="1" applyProtection="1">
      <alignment vertical="center"/>
    </xf>
    <xf numFmtId="0" fontId="29" fillId="0" borderId="21" xfId="49" applyFont="1" applyBorder="1" applyAlignment="1" applyProtection="1">
      <alignment vertical="center"/>
    </xf>
    <xf numFmtId="0" fontId="29" fillId="0" borderId="152" xfId="0" applyFont="1" applyBorder="1" applyAlignment="1" applyProtection="1">
      <alignment horizontal="left" vertical="center"/>
    </xf>
    <xf numFmtId="0" fontId="28" fillId="0" borderId="312" xfId="0" applyFont="1" applyBorder="1" applyAlignment="1" applyProtection="1">
      <alignment horizontal="right" vertical="center"/>
      <protection locked="0"/>
    </xf>
    <xf numFmtId="0" fontId="29" fillId="0" borderId="326" xfId="0" applyFont="1" applyBorder="1" applyAlignment="1" applyProtection="1">
      <alignment horizontal="left" vertical="center"/>
    </xf>
    <xf numFmtId="0" fontId="29" fillId="0" borderId="175" xfId="0" applyFont="1" applyBorder="1" applyAlignment="1" applyProtection="1">
      <alignment horizontal="left" vertical="center"/>
    </xf>
    <xf numFmtId="0" fontId="28" fillId="32" borderId="314" xfId="49" applyFont="1" applyFill="1" applyBorder="1" applyAlignment="1" applyProtection="1">
      <alignment horizontal="right" vertical="center"/>
    </xf>
    <xf numFmtId="0" fontId="28" fillId="31" borderId="314" xfId="49" applyFont="1" applyFill="1" applyBorder="1" applyAlignment="1" applyProtection="1">
      <alignment horizontal="center" vertical="center"/>
    </xf>
    <xf numFmtId="0" fontId="29" fillId="0" borderId="294" xfId="0" applyFont="1" applyBorder="1" applyAlignment="1" applyProtection="1">
      <alignment horizontal="left" vertical="center"/>
    </xf>
    <xf numFmtId="0" fontId="29" fillId="0" borderId="311" xfId="49" applyFont="1" applyBorder="1" applyAlignment="1" applyProtection="1">
      <alignment horizontal="right" vertical="center" wrapText="1"/>
    </xf>
    <xf numFmtId="0" fontId="29" fillId="0" borderId="312" xfId="49" applyFont="1" applyBorder="1" applyAlignment="1" applyProtection="1">
      <alignment horizontal="right" vertical="center" wrapText="1"/>
    </xf>
    <xf numFmtId="0" fontId="29" fillId="0" borderId="313" xfId="49" applyFont="1" applyBorder="1" applyAlignment="1" applyProtection="1">
      <alignment horizontal="right" vertical="center" wrapText="1"/>
    </xf>
    <xf numFmtId="1" fontId="28" fillId="0" borderId="172" xfId="49" applyNumberFormat="1" applyFont="1" applyBorder="1" applyAlignment="1" applyProtection="1">
      <alignment horizontal="center" vertical="center"/>
    </xf>
    <xf numFmtId="0" fontId="28" fillId="0" borderId="91" xfId="49" applyFont="1" applyBorder="1" applyAlignment="1" applyProtection="1">
      <alignment horizontal="center" vertical="center" wrapText="1"/>
    </xf>
    <xf numFmtId="0" fontId="28" fillId="0" borderId="93" xfId="49" applyFont="1" applyBorder="1" applyAlignment="1" applyProtection="1">
      <alignment horizontal="center" vertical="center" wrapText="1"/>
    </xf>
    <xf numFmtId="0" fontId="28" fillId="0" borderId="311" xfId="49" applyFont="1" applyBorder="1" applyAlignment="1" applyProtection="1">
      <alignment horizontal="center" vertical="center" wrapText="1"/>
    </xf>
    <xf numFmtId="0" fontId="28" fillId="0" borderId="312" xfId="49" applyFont="1" applyBorder="1" applyAlignment="1" applyProtection="1">
      <alignment horizontal="center" vertical="center" wrapText="1"/>
    </xf>
    <xf numFmtId="0" fontId="28" fillId="0" borderId="320" xfId="49" applyFont="1" applyBorder="1" applyAlignment="1" applyProtection="1">
      <alignment horizontal="center" vertical="center" wrapText="1"/>
    </xf>
    <xf numFmtId="14" fontId="28" fillId="30" borderId="172" xfId="49" applyNumberFormat="1" applyFont="1" applyFill="1" applyBorder="1" applyAlignment="1" applyProtection="1">
      <alignment horizontal="center" vertical="center"/>
    </xf>
    <xf numFmtId="0" fontId="29" fillId="0" borderId="311" xfId="49" applyFont="1" applyBorder="1" applyAlignment="1" applyProtection="1">
      <alignment horizontal="right" vertical="center"/>
    </xf>
    <xf numFmtId="0" fontId="29" fillId="0" borderId="312" xfId="49" applyFont="1" applyBorder="1" applyAlignment="1" applyProtection="1">
      <alignment horizontal="right" vertical="center"/>
    </xf>
    <xf numFmtId="0" fontId="29" fillId="0" borderId="313" xfId="49" applyFont="1" applyBorder="1" applyAlignment="1" applyProtection="1">
      <alignment horizontal="right" vertical="center"/>
    </xf>
    <xf numFmtId="0" fontId="28" fillId="0" borderId="172" xfId="49" applyFont="1" applyBorder="1" applyAlignment="1" applyProtection="1">
      <alignment horizontal="center" vertical="center"/>
    </xf>
    <xf numFmtId="0" fontId="28" fillId="28" borderId="172" xfId="49" applyFont="1" applyFill="1" applyBorder="1" applyAlignment="1" applyProtection="1">
      <alignment horizontal="center" vertical="center" wrapText="1"/>
    </xf>
    <xf numFmtId="0" fontId="28" fillId="28" borderId="35" xfId="49" applyFont="1" applyFill="1" applyBorder="1" applyAlignment="1" applyProtection="1">
      <alignment horizontal="center" vertical="center" wrapText="1"/>
    </xf>
    <xf numFmtId="0" fontId="47" fillId="28" borderId="172" xfId="49" applyFont="1" applyFill="1" applyBorder="1" applyAlignment="1" applyProtection="1">
      <alignment horizontal="center" vertical="center"/>
    </xf>
    <xf numFmtId="0" fontId="47" fillId="28" borderId="35" xfId="49" applyFont="1" applyFill="1" applyBorder="1" applyAlignment="1" applyProtection="1">
      <alignment horizontal="center" vertical="center"/>
    </xf>
    <xf numFmtId="168" fontId="28" fillId="29" borderId="172" xfId="31" applyNumberFormat="1" applyFont="1" applyFill="1" applyBorder="1" applyAlignment="1" applyProtection="1">
      <alignment horizontal="center" vertical="center"/>
    </xf>
    <xf numFmtId="168" fontId="28" fillId="29" borderId="35" xfId="31" applyNumberFormat="1" applyFont="1" applyFill="1" applyBorder="1" applyAlignment="1" applyProtection="1">
      <alignment horizontal="center" vertical="center"/>
    </xf>
    <xf numFmtId="0" fontId="28" fillId="0" borderId="312" xfId="49" applyFont="1" applyBorder="1" applyAlignment="1" applyProtection="1">
      <alignment horizontal="center" vertical="center"/>
    </xf>
    <xf numFmtId="0" fontId="28" fillId="0" borderId="320" xfId="49" applyFont="1" applyBorder="1" applyAlignment="1" applyProtection="1">
      <alignment horizontal="center" vertical="center"/>
    </xf>
    <xf numFmtId="168" fontId="28" fillId="0" borderId="325" xfId="31" applyNumberFormat="1" applyFont="1" applyBorder="1" applyAlignment="1" applyProtection="1">
      <alignment horizontal="center" vertical="center"/>
    </xf>
    <xf numFmtId="168" fontId="28" fillId="0" borderId="324" xfId="31" applyNumberFormat="1" applyFont="1" applyBorder="1" applyAlignment="1" applyProtection="1">
      <alignment horizontal="center" vertical="center"/>
    </xf>
    <xf numFmtId="0" fontId="28" fillId="0" borderId="321" xfId="49" applyFont="1" applyBorder="1" applyAlignment="1" applyProtection="1">
      <alignment horizontal="center" vertical="center" wrapText="1"/>
    </xf>
    <xf numFmtId="0" fontId="28" fillId="0" borderId="322" xfId="49" applyFont="1" applyBorder="1" applyAlignment="1" applyProtection="1">
      <alignment horizontal="justify" vertical="center" wrapText="1"/>
    </xf>
    <xf numFmtId="0" fontId="28" fillId="0" borderId="324" xfId="49" applyFont="1" applyBorder="1" applyAlignment="1" applyProtection="1">
      <alignment horizontal="justify" vertical="center" wrapText="1"/>
    </xf>
    <xf numFmtId="0" fontId="28" fillId="0" borderId="92" xfId="49" applyFont="1" applyBorder="1" applyAlignment="1" applyProtection="1">
      <alignment horizontal="justify" vertical="center" wrapText="1"/>
    </xf>
    <xf numFmtId="0" fontId="28" fillId="0" borderId="93" xfId="49" applyFont="1" applyBorder="1" applyAlignment="1" applyProtection="1">
      <alignment horizontal="justify" vertical="center" wrapText="1"/>
    </xf>
    <xf numFmtId="0" fontId="28" fillId="0" borderId="317" xfId="49" applyFont="1" applyBorder="1" applyAlignment="1" applyProtection="1">
      <alignment horizontal="left" vertical="center"/>
    </xf>
    <xf numFmtId="0" fontId="28" fillId="0" borderId="238" xfId="49" applyFont="1" applyBorder="1" applyAlignment="1" applyProtection="1">
      <alignment horizontal="left" vertical="center"/>
    </xf>
    <xf numFmtId="0" fontId="28" fillId="0" borderId="317" xfId="49" applyFont="1" applyBorder="1" applyAlignment="1" applyProtection="1">
      <alignment horizontal="center" vertical="center"/>
    </xf>
    <xf numFmtId="0" fontId="28" fillId="0" borderId="319" xfId="49" applyFont="1" applyBorder="1" applyAlignment="1" applyProtection="1">
      <alignment horizontal="center" vertical="center"/>
    </xf>
    <xf numFmtId="0" fontId="28" fillId="0" borderId="183" xfId="49" applyFont="1" applyBorder="1" applyAlignment="1" applyProtection="1">
      <alignment horizontal="justify" vertical="center"/>
    </xf>
    <xf numFmtId="0" fontId="28" fillId="0" borderId="189" xfId="49" applyFont="1" applyBorder="1" applyAlignment="1" applyProtection="1">
      <alignment horizontal="justify" vertical="center"/>
    </xf>
    <xf numFmtId="0" fontId="28" fillId="0" borderId="191" xfId="49" applyFont="1" applyBorder="1" applyAlignment="1" applyProtection="1">
      <alignment horizontal="justify" vertical="center"/>
    </xf>
    <xf numFmtId="0" fontId="28" fillId="0" borderId="190" xfId="49" applyFont="1" applyBorder="1" applyAlignment="1" applyProtection="1">
      <alignment horizontal="justify" vertical="center"/>
    </xf>
    <xf numFmtId="0" fontId="28" fillId="27" borderId="315" xfId="49" applyFont="1" applyFill="1" applyBorder="1" applyAlignment="1" applyProtection="1">
      <alignment horizontal="center" vertical="center" wrapText="1"/>
    </xf>
    <xf numFmtId="0" fontId="28" fillId="27" borderId="313" xfId="49" applyFont="1" applyFill="1" applyBorder="1" applyAlignment="1" applyProtection="1">
      <alignment horizontal="center" vertical="center" wrapText="1"/>
    </xf>
    <xf numFmtId="0" fontId="28" fillId="27" borderId="314" xfId="49" applyFont="1" applyFill="1" applyBorder="1" applyAlignment="1" applyProtection="1">
      <alignment horizontal="center" vertical="center" wrapText="1"/>
    </xf>
    <xf numFmtId="0" fontId="28" fillId="27" borderId="316" xfId="49" applyFont="1" applyFill="1" applyBorder="1" applyAlignment="1" applyProtection="1">
      <alignment horizontal="center" vertical="center" wrapText="1"/>
    </xf>
    <xf numFmtId="0" fontId="32" fillId="52" borderId="201" xfId="0" applyFont="1" applyFill="1" applyBorder="1" applyAlignment="1">
      <alignment horizontal="right" vertical="center"/>
    </xf>
    <xf numFmtId="0" fontId="32" fillId="52" borderId="202" xfId="0" applyFont="1" applyFill="1" applyBorder="1" applyAlignment="1">
      <alignment horizontal="right" vertical="center"/>
    </xf>
    <xf numFmtId="0" fontId="32" fillId="63" borderId="317" xfId="0" applyFont="1" applyFill="1" applyBorder="1" applyAlignment="1">
      <alignment horizontal="right" vertical="center"/>
    </xf>
    <xf numFmtId="0" fontId="32" fillId="63" borderId="238" xfId="0" applyFont="1" applyFill="1" applyBorder="1" applyAlignment="1">
      <alignment horizontal="right" vertical="center"/>
    </xf>
    <xf numFmtId="0" fontId="32" fillId="63" borderId="250" xfId="0" applyFont="1" applyFill="1" applyBorder="1" applyAlignment="1">
      <alignment horizontal="right" vertical="center"/>
    </xf>
    <xf numFmtId="0" fontId="32" fillId="63" borderId="71" xfId="0" applyFont="1" applyFill="1" applyBorder="1" applyAlignment="1">
      <alignment horizontal="right" vertical="center"/>
    </xf>
    <xf numFmtId="0" fontId="32" fillId="63" borderId="328" xfId="0" applyFont="1" applyFill="1" applyBorder="1" applyAlignment="1">
      <alignment horizontal="right" vertical="center"/>
    </xf>
    <xf numFmtId="0" fontId="32" fillId="63" borderId="333" xfId="0" applyFont="1" applyFill="1" applyBorder="1" applyAlignment="1">
      <alignment horizontal="right" vertical="center"/>
    </xf>
    <xf numFmtId="0" fontId="32" fillId="0" borderId="159" xfId="0" applyFont="1" applyBorder="1" applyAlignment="1">
      <alignment horizontal="center" vertical="center"/>
    </xf>
    <xf numFmtId="0" fontId="32" fillId="0" borderId="195" xfId="0" applyFont="1" applyBorder="1" applyAlignment="1">
      <alignment horizontal="center" vertical="center"/>
    </xf>
    <xf numFmtId="0" fontId="32" fillId="0" borderId="196" xfId="0" applyFont="1" applyBorder="1" applyAlignment="1">
      <alignment horizontal="center" vertical="center"/>
    </xf>
    <xf numFmtId="0" fontId="28" fillId="45" borderId="336" xfId="0" applyFont="1" applyFill="1" applyBorder="1" applyAlignment="1">
      <alignment horizontal="right" vertical="center"/>
    </xf>
    <xf numFmtId="0" fontId="28" fillId="45" borderId="337" xfId="0" applyFont="1" applyFill="1" applyBorder="1" applyAlignment="1">
      <alignment horizontal="right" vertical="center"/>
    </xf>
    <xf numFmtId="0" fontId="28" fillId="45" borderId="311" xfId="0" applyFont="1" applyFill="1" applyBorder="1" applyAlignment="1">
      <alignment horizontal="right" vertical="center"/>
    </xf>
    <xf numFmtId="0" fontId="28" fillId="45" borderId="312" xfId="0" applyFont="1" applyFill="1" applyBorder="1" applyAlignment="1">
      <alignment horizontal="right" vertical="center"/>
    </xf>
    <xf numFmtId="0" fontId="28" fillId="45" borderId="313" xfId="0" applyFont="1" applyFill="1" applyBorder="1" applyAlignment="1">
      <alignment horizontal="right" vertical="center"/>
    </xf>
    <xf numFmtId="0" fontId="28" fillId="45" borderId="135" xfId="0" applyFont="1" applyFill="1" applyBorder="1" applyAlignment="1">
      <alignment horizontal="right" vertical="center"/>
    </xf>
    <xf numFmtId="0" fontId="28" fillId="45" borderId="136" xfId="0" applyFont="1" applyFill="1" applyBorder="1" applyAlignment="1">
      <alignment horizontal="right" vertical="center"/>
    </xf>
    <xf numFmtId="0" fontId="28" fillId="45" borderId="137" xfId="0" applyFont="1" applyFill="1" applyBorder="1" applyAlignment="1">
      <alignment horizontal="right" vertical="center"/>
    </xf>
    <xf numFmtId="0" fontId="28" fillId="45" borderId="232" xfId="0" applyFont="1" applyFill="1" applyBorder="1" applyAlignment="1">
      <alignment horizontal="right" vertical="center"/>
    </xf>
    <xf numFmtId="0" fontId="28" fillId="45" borderId="259" xfId="0" applyFont="1" applyFill="1" applyBorder="1" applyAlignment="1">
      <alignment horizontal="right" vertical="center"/>
    </xf>
    <xf numFmtId="0" fontId="28" fillId="45" borderId="258" xfId="0" applyFont="1" applyFill="1" applyBorder="1" applyAlignment="1">
      <alignment horizontal="right" vertical="center"/>
    </xf>
    <xf numFmtId="1" fontId="33" fillId="42" borderId="331" xfId="0" applyNumberFormat="1" applyFont="1" applyFill="1" applyBorder="1" applyAlignment="1">
      <alignment horizontal="center" vertical="center"/>
    </xf>
    <xf numFmtId="1" fontId="33" fillId="42" borderId="59" xfId="0" applyNumberFormat="1" applyFont="1" applyFill="1" applyBorder="1" applyAlignment="1">
      <alignment horizontal="center" vertical="center"/>
    </xf>
    <xf numFmtId="0" fontId="28" fillId="0" borderId="317" xfId="49" applyFont="1" applyFill="1" applyBorder="1" applyAlignment="1" applyProtection="1">
      <alignment horizontal="left" vertical="center"/>
    </xf>
    <xf numFmtId="0" fontId="28" fillId="0" borderId="318" xfId="49" applyFont="1" applyFill="1" applyBorder="1" applyAlignment="1" applyProtection="1">
      <alignment horizontal="left" vertical="center"/>
    </xf>
    <xf numFmtId="0" fontId="28" fillId="0" borderId="317" xfId="49" applyFont="1" applyFill="1" applyBorder="1" applyAlignment="1" applyProtection="1">
      <alignment horizontal="center" vertical="center"/>
    </xf>
    <xf numFmtId="0" fontId="28" fillId="0" borderId="319" xfId="49" applyFont="1" applyFill="1" applyBorder="1" applyAlignment="1" applyProtection="1">
      <alignment horizontal="center" vertical="center"/>
    </xf>
    <xf numFmtId="0" fontId="28" fillId="0" borderId="183" xfId="49" applyFont="1" applyFill="1" applyBorder="1" applyAlignment="1" applyProtection="1">
      <alignment horizontal="justify" vertical="center"/>
    </xf>
    <xf numFmtId="0" fontId="28" fillId="0" borderId="0" xfId="49" applyFont="1" applyFill="1" applyBorder="1" applyAlignment="1" applyProtection="1">
      <alignment horizontal="justify" vertical="center"/>
    </xf>
    <xf numFmtId="0" fontId="28" fillId="0" borderId="35" xfId="49" applyFont="1" applyFill="1" applyBorder="1" applyAlignment="1" applyProtection="1">
      <alignment horizontal="justify" vertical="center"/>
    </xf>
    <xf numFmtId="0" fontId="28" fillId="0" borderId="252" xfId="49" applyFont="1" applyFill="1" applyBorder="1" applyAlignment="1" applyProtection="1">
      <alignment horizontal="justify" vertical="center"/>
    </xf>
    <xf numFmtId="0" fontId="28" fillId="0" borderId="264" xfId="49" applyFont="1" applyFill="1" applyBorder="1" applyAlignment="1" applyProtection="1">
      <alignment horizontal="justify" vertical="center"/>
    </xf>
    <xf numFmtId="0" fontId="28" fillId="0" borderId="237" xfId="49" applyFont="1" applyFill="1" applyBorder="1" applyAlignment="1" applyProtection="1">
      <alignment horizontal="justify" vertical="center"/>
    </xf>
    <xf numFmtId="0" fontId="28" fillId="39" borderId="315" xfId="49" applyFont="1" applyFill="1" applyBorder="1" applyAlignment="1" applyProtection="1">
      <alignment horizontal="center" vertical="center" wrapText="1"/>
    </xf>
    <xf numFmtId="0" fontId="28" fillId="39" borderId="313" xfId="49" applyFont="1" applyFill="1" applyBorder="1" applyAlignment="1" applyProtection="1">
      <alignment horizontal="center" vertical="center" wrapText="1"/>
    </xf>
    <xf numFmtId="0" fontId="28" fillId="39" borderId="314" xfId="49" applyFont="1" applyFill="1" applyBorder="1" applyAlignment="1" applyProtection="1">
      <alignment horizontal="center" vertical="center" wrapText="1"/>
    </xf>
    <xf numFmtId="0" fontId="28" fillId="39" borderId="316" xfId="49" applyFont="1" applyFill="1" applyBorder="1" applyAlignment="1" applyProtection="1">
      <alignment horizontal="center" vertical="center" wrapText="1"/>
    </xf>
    <xf numFmtId="0" fontId="29" fillId="0" borderId="311" xfId="49" applyFont="1" applyFill="1" applyBorder="1" applyAlignment="1" applyProtection="1">
      <alignment horizontal="right" vertical="center" wrapText="1"/>
    </xf>
    <xf numFmtId="0" fontId="29" fillId="0" borderId="312" xfId="49" applyFont="1" applyFill="1" applyBorder="1" applyAlignment="1" applyProtection="1">
      <alignment horizontal="right" vertical="center" wrapText="1"/>
    </xf>
    <xf numFmtId="0" fontId="29" fillId="0" borderId="313" xfId="49" applyFont="1" applyFill="1" applyBorder="1" applyAlignment="1" applyProtection="1">
      <alignment horizontal="right" vertical="center" wrapText="1"/>
    </xf>
    <xf numFmtId="0" fontId="28" fillId="0" borderId="312" xfId="49" applyFont="1" applyFill="1" applyBorder="1" applyAlignment="1" applyProtection="1">
      <alignment horizontal="center" vertical="center" wrapText="1"/>
    </xf>
    <xf numFmtId="0" fontId="28" fillId="0" borderId="320" xfId="49" applyFont="1" applyFill="1" applyBorder="1" applyAlignment="1" applyProtection="1">
      <alignment horizontal="center" vertical="center" wrapText="1"/>
    </xf>
    <xf numFmtId="0" fontId="29" fillId="0" borderId="311" xfId="49" applyFont="1" applyFill="1" applyBorder="1" applyAlignment="1" applyProtection="1">
      <alignment horizontal="right" vertical="center"/>
    </xf>
    <xf numFmtId="0" fontId="29" fillId="0" borderId="312" xfId="49" applyFont="1" applyFill="1" applyBorder="1" applyAlignment="1" applyProtection="1">
      <alignment horizontal="right" vertical="center"/>
    </xf>
    <xf numFmtId="0" fontId="29" fillId="0" borderId="313" xfId="49" applyFont="1" applyFill="1" applyBorder="1" applyAlignment="1" applyProtection="1">
      <alignment horizontal="right" vertical="center"/>
    </xf>
    <xf numFmtId="0" fontId="28" fillId="0" borderId="312" xfId="49" applyFont="1" applyFill="1" applyBorder="1" applyAlignment="1" applyProtection="1">
      <alignment horizontal="center" vertical="center"/>
    </xf>
    <xf numFmtId="0" fontId="28" fillId="0" borderId="320" xfId="49" applyFont="1" applyFill="1" applyBorder="1" applyAlignment="1" applyProtection="1">
      <alignment horizontal="center" vertical="center"/>
    </xf>
    <xf numFmtId="0" fontId="28" fillId="39" borderId="315" xfId="49" applyFont="1" applyFill="1" applyBorder="1" applyAlignment="1" applyProtection="1">
      <alignment horizontal="center" vertical="center"/>
    </xf>
    <xf numFmtId="0" fontId="28" fillId="39" borderId="313" xfId="49" applyFont="1" applyFill="1" applyBorder="1" applyAlignment="1" applyProtection="1">
      <alignment horizontal="center" vertical="center"/>
    </xf>
    <xf numFmtId="0" fontId="28" fillId="39" borderId="314" xfId="49" applyFont="1" applyFill="1" applyBorder="1" applyAlignment="1" applyProtection="1">
      <alignment horizontal="center" vertical="center"/>
    </xf>
    <xf numFmtId="0" fontId="28" fillId="39" borderId="316" xfId="49" applyFont="1" applyFill="1" applyBorder="1" applyAlignment="1" applyProtection="1">
      <alignment horizontal="center" vertical="center"/>
    </xf>
    <xf numFmtId="168" fontId="28" fillId="0" borderId="325" xfId="31" applyNumberFormat="1" applyFont="1" applyFill="1" applyBorder="1" applyAlignment="1" applyProtection="1">
      <alignment horizontal="center" vertical="center"/>
    </xf>
    <xf numFmtId="168" fontId="28" fillId="0" borderId="324" xfId="31" applyNumberFormat="1" applyFont="1" applyFill="1" applyBorder="1" applyAlignment="1" applyProtection="1">
      <alignment horizontal="center" vertical="center"/>
    </xf>
    <xf numFmtId="0" fontId="28" fillId="0" borderId="321" xfId="49" applyFont="1" applyFill="1" applyBorder="1" applyAlignment="1" applyProtection="1">
      <alignment horizontal="center" vertical="center" wrapText="1"/>
    </xf>
    <xf numFmtId="0" fontId="28" fillId="0" borderId="322" xfId="49" applyFont="1" applyFill="1" applyBorder="1" applyAlignment="1" applyProtection="1">
      <alignment horizontal="justify" vertical="center" wrapText="1"/>
    </xf>
    <xf numFmtId="0" fontId="28" fillId="0" borderId="323" xfId="49" applyFont="1" applyFill="1" applyBorder="1" applyAlignment="1" applyProtection="1">
      <alignment horizontal="justify" vertical="center" wrapText="1"/>
    </xf>
    <xf numFmtId="0" fontId="28" fillId="0" borderId="324" xfId="49" applyFont="1" applyFill="1" applyBorder="1" applyAlignment="1" applyProtection="1">
      <alignment horizontal="justify" vertical="center" wrapText="1"/>
    </xf>
    <xf numFmtId="0" fontId="28" fillId="0" borderId="92" xfId="49" applyFont="1" applyFill="1" applyBorder="1" applyAlignment="1" applyProtection="1">
      <alignment horizontal="justify" vertical="center" wrapText="1"/>
    </xf>
    <xf numFmtId="0" fontId="28" fillId="0" borderId="150" xfId="49" applyFont="1" applyFill="1" applyBorder="1" applyAlignment="1" applyProtection="1">
      <alignment horizontal="justify" vertical="center" wrapText="1"/>
    </xf>
    <xf numFmtId="0" fontId="28" fillId="0" borderId="93" xfId="49" applyFont="1" applyFill="1" applyBorder="1" applyAlignment="1" applyProtection="1">
      <alignment horizontal="justify" vertical="center" wrapText="1"/>
    </xf>
    <xf numFmtId="14" fontId="28" fillId="73" borderId="57" xfId="49" applyNumberFormat="1" applyFont="1" applyFill="1" applyBorder="1" applyAlignment="1" applyProtection="1">
      <alignment horizontal="center" vertical="center"/>
    </xf>
    <xf numFmtId="14" fontId="28" fillId="73" borderId="35" xfId="49" applyNumberFormat="1" applyFont="1" applyFill="1" applyBorder="1" applyAlignment="1" applyProtection="1">
      <alignment horizontal="center" vertical="center"/>
    </xf>
    <xf numFmtId="0" fontId="28" fillId="0" borderId="57" xfId="49" applyFont="1" applyFill="1" applyBorder="1" applyAlignment="1" applyProtection="1">
      <alignment horizontal="center" vertical="center"/>
    </xf>
    <xf numFmtId="0" fontId="28" fillId="0" borderId="35" xfId="49" applyFont="1" applyFill="1" applyBorder="1" applyAlignment="1" applyProtection="1">
      <alignment horizontal="center" vertical="center"/>
    </xf>
    <xf numFmtId="1" fontId="28" fillId="0" borderId="57" xfId="49" applyNumberFormat="1" applyFont="1" applyFill="1" applyBorder="1" applyAlignment="1" applyProtection="1">
      <alignment horizontal="center" vertical="center"/>
    </xf>
    <xf numFmtId="1" fontId="28" fillId="0" borderId="35" xfId="49" applyNumberFormat="1" applyFont="1" applyFill="1" applyBorder="1" applyAlignment="1" applyProtection="1">
      <alignment horizontal="center" vertical="center"/>
    </xf>
    <xf numFmtId="0" fontId="28" fillId="71" borderId="57" xfId="49" applyFont="1" applyFill="1" applyBorder="1" applyAlignment="1" applyProtection="1">
      <alignment horizontal="center" vertical="center" wrapText="1"/>
    </xf>
    <xf numFmtId="0" fontId="28" fillId="71" borderId="35" xfId="49" applyFont="1" applyFill="1" applyBorder="1" applyAlignment="1" applyProtection="1">
      <alignment horizontal="center" vertical="center" wrapText="1"/>
    </xf>
    <xf numFmtId="0" fontId="52" fillId="71" borderId="57" xfId="49" applyFont="1" applyFill="1" applyBorder="1" applyAlignment="1" applyProtection="1">
      <alignment horizontal="center" vertical="center"/>
    </xf>
    <xf numFmtId="0" fontId="52" fillId="71" borderId="35" xfId="49" applyFont="1" applyFill="1" applyBorder="1" applyAlignment="1" applyProtection="1">
      <alignment horizontal="center" vertical="center"/>
    </xf>
    <xf numFmtId="168" fontId="28" fillId="72" borderId="57" xfId="31" applyNumberFormat="1" applyFont="1" applyFill="1" applyBorder="1" applyAlignment="1" applyProtection="1">
      <alignment horizontal="center" vertical="center"/>
    </xf>
    <xf numFmtId="168" fontId="28" fillId="72" borderId="35" xfId="31" applyNumberFormat="1" applyFont="1" applyFill="1" applyBorder="1" applyAlignment="1" applyProtection="1">
      <alignment horizontal="center" vertical="center"/>
    </xf>
    <xf numFmtId="0" fontId="28" fillId="74" borderId="314" xfId="49" applyFont="1" applyFill="1" applyBorder="1" applyAlignment="1" applyProtection="1">
      <alignment horizontal="center" vertical="center"/>
    </xf>
    <xf numFmtId="0" fontId="29" fillId="0" borderId="294" xfId="0" applyFont="1" applyFill="1" applyBorder="1" applyAlignment="1" applyProtection="1">
      <alignment horizontal="left" vertical="center"/>
    </xf>
    <xf numFmtId="0" fontId="29" fillId="0" borderId="58" xfId="0" applyFont="1" applyFill="1" applyBorder="1" applyAlignment="1" applyProtection="1">
      <alignment horizontal="left" vertical="center"/>
    </xf>
    <xf numFmtId="0" fontId="28" fillId="0" borderId="91" xfId="49" applyFont="1" applyFill="1" applyBorder="1" applyAlignment="1" applyProtection="1">
      <alignment horizontal="center" vertical="center" wrapText="1"/>
    </xf>
    <xf numFmtId="0" fontId="28" fillId="0" borderId="93" xfId="49" applyFont="1" applyFill="1" applyBorder="1" applyAlignment="1" applyProtection="1">
      <alignment horizontal="center" vertical="center" wrapText="1"/>
    </xf>
    <xf numFmtId="0" fontId="28" fillId="0" borderId="311" xfId="49" applyFont="1" applyFill="1" applyBorder="1" applyAlignment="1" applyProtection="1">
      <alignment horizontal="center" vertical="center" wrapText="1"/>
    </xf>
    <xf numFmtId="0" fontId="29" fillId="0" borderId="91" xfId="0" applyFont="1" applyFill="1" applyBorder="1" applyAlignment="1" applyProtection="1">
      <alignment horizontal="left" vertical="center"/>
    </xf>
    <xf numFmtId="0" fontId="29" fillId="0" borderId="150" xfId="0" applyFont="1" applyFill="1" applyBorder="1" applyAlignment="1" applyProtection="1">
      <alignment horizontal="left" vertical="center"/>
    </xf>
    <xf numFmtId="0" fontId="29" fillId="0" borderId="152" xfId="0" applyFont="1" applyFill="1" applyBorder="1" applyAlignment="1" applyProtection="1">
      <alignment horizontal="left" vertical="center"/>
    </xf>
    <xf numFmtId="0" fontId="28" fillId="0" borderId="312" xfId="0" applyFont="1" applyFill="1" applyBorder="1" applyAlignment="1" applyProtection="1">
      <alignment horizontal="right" vertical="center"/>
      <protection locked="0"/>
    </xf>
    <xf numFmtId="0" fontId="28" fillId="75" borderId="311" xfId="0" applyFont="1" applyFill="1" applyBorder="1" applyAlignment="1" applyProtection="1">
      <alignment horizontal="right" vertical="center"/>
    </xf>
    <xf numFmtId="0" fontId="28" fillId="75" borderId="312" xfId="0" applyFont="1" applyFill="1" applyBorder="1" applyAlignment="1" applyProtection="1">
      <alignment horizontal="right" vertical="center"/>
    </xf>
    <xf numFmtId="0" fontId="28" fillId="75" borderId="313" xfId="0" applyFont="1" applyFill="1" applyBorder="1" applyAlignment="1" applyProtection="1">
      <alignment horizontal="right" vertical="center"/>
    </xf>
    <xf numFmtId="0" fontId="28" fillId="74" borderId="311" xfId="0" applyFont="1" applyFill="1" applyBorder="1" applyAlignment="1" applyProtection="1">
      <alignment horizontal="left" vertical="center"/>
    </xf>
    <xf numFmtId="0" fontId="28" fillId="74" borderId="312" xfId="0" applyFont="1" applyFill="1" applyBorder="1" applyAlignment="1" applyProtection="1">
      <alignment horizontal="left" vertical="center"/>
    </xf>
    <xf numFmtId="0" fontId="28" fillId="74" borderId="320" xfId="0" applyFont="1" applyFill="1" applyBorder="1" applyAlignment="1" applyProtection="1">
      <alignment horizontal="left" vertical="center"/>
    </xf>
    <xf numFmtId="0" fontId="29" fillId="0" borderId="325" xfId="0" applyFont="1" applyFill="1" applyBorder="1" applyAlignment="1" applyProtection="1">
      <alignment horizontal="left" vertical="center"/>
    </xf>
    <xf numFmtId="0" fontId="29" fillId="0" borderId="323" xfId="0" applyFont="1" applyFill="1" applyBorder="1" applyAlignment="1" applyProtection="1">
      <alignment horizontal="left" vertical="center"/>
    </xf>
    <xf numFmtId="0" fontId="29" fillId="0" borderId="326" xfId="0" applyFont="1" applyFill="1" applyBorder="1" applyAlignment="1" applyProtection="1">
      <alignment horizontal="left" vertical="center"/>
    </xf>
    <xf numFmtId="0" fontId="29" fillId="0" borderId="57" xfId="0" applyFont="1" applyFill="1" applyBorder="1" applyAlignment="1" applyProtection="1">
      <alignment horizontal="left" vertical="center"/>
    </xf>
    <xf numFmtId="0" fontId="29" fillId="0" borderId="0" xfId="0" applyFont="1" applyFill="1" applyBorder="1" applyAlignment="1" applyProtection="1">
      <alignment horizontal="left" vertical="center"/>
    </xf>
    <xf numFmtId="0" fontId="29" fillId="0" borderId="11" xfId="0" applyFont="1" applyFill="1" applyBorder="1" applyAlignment="1" applyProtection="1">
      <alignment horizontal="left" vertical="center"/>
    </xf>
    <xf numFmtId="0" fontId="28" fillId="75" borderId="315" xfId="49" applyFont="1" applyFill="1" applyBorder="1" applyAlignment="1" applyProtection="1">
      <alignment horizontal="right" vertical="center"/>
    </xf>
    <xf numFmtId="0" fontId="28" fillId="75" borderId="313" xfId="49" applyFont="1" applyFill="1" applyBorder="1" applyAlignment="1" applyProtection="1">
      <alignment horizontal="right" vertical="center"/>
    </xf>
    <xf numFmtId="0" fontId="28" fillId="75" borderId="314" xfId="49" applyFont="1" applyFill="1" applyBorder="1" applyAlignment="1" applyProtection="1">
      <alignment horizontal="right" vertical="center"/>
    </xf>
    <xf numFmtId="0" fontId="29" fillId="0" borderId="325" xfId="49" applyFont="1" applyFill="1" applyBorder="1" applyAlignment="1" applyProtection="1">
      <alignment vertical="center"/>
    </xf>
    <xf numFmtId="0" fontId="29" fillId="0" borderId="323" xfId="49" applyFont="1" applyFill="1" applyBorder="1" applyAlignment="1" applyProtection="1">
      <alignment vertical="center"/>
    </xf>
    <xf numFmtId="0" fontId="28" fillId="75" borderId="321" xfId="49" applyFont="1" applyFill="1" applyBorder="1" applyAlignment="1" applyProtection="1">
      <alignment horizontal="right" vertical="center"/>
    </xf>
    <xf numFmtId="0" fontId="28" fillId="75" borderId="312" xfId="49" applyFont="1" applyFill="1" applyBorder="1" applyAlignment="1" applyProtection="1">
      <alignment horizontal="right" vertical="center"/>
    </xf>
    <xf numFmtId="0" fontId="28" fillId="76" borderId="322" xfId="49" applyFont="1" applyFill="1" applyBorder="1" applyAlignment="1" applyProtection="1">
      <alignment horizontal="left" vertical="center"/>
    </xf>
    <xf numFmtId="0" fontId="28" fillId="76" borderId="323" xfId="49" applyFont="1" applyFill="1" applyBorder="1" applyAlignment="1" applyProtection="1">
      <alignment horizontal="left" vertical="center"/>
    </xf>
    <xf numFmtId="0" fontId="28" fillId="76" borderId="183" xfId="49" applyFont="1" applyFill="1" applyBorder="1" applyAlignment="1" applyProtection="1">
      <alignment horizontal="left" vertical="center"/>
    </xf>
    <xf numFmtId="0" fontId="28" fillId="76" borderId="0" xfId="49" applyFont="1" applyFill="1" applyBorder="1" applyAlignment="1" applyProtection="1">
      <alignment horizontal="left" vertical="center"/>
    </xf>
    <xf numFmtId="0" fontId="28" fillId="76" borderId="11" xfId="49" applyFont="1" applyFill="1" applyBorder="1" applyAlignment="1" applyProtection="1">
      <alignment horizontal="left" vertical="center"/>
    </xf>
    <xf numFmtId="0" fontId="28" fillId="75" borderId="311" xfId="49" applyFont="1" applyFill="1" applyBorder="1" applyAlignment="1" applyProtection="1">
      <alignment horizontal="right" vertical="center"/>
    </xf>
    <xf numFmtId="0" fontId="29" fillId="0" borderId="57" xfId="0" applyFont="1" applyFill="1" applyBorder="1" applyAlignment="1" applyProtection="1">
      <alignment vertical="center"/>
    </xf>
    <xf numFmtId="0" fontId="29" fillId="0" borderId="0" xfId="0" applyFont="1" applyFill="1" applyBorder="1" applyAlignment="1" applyProtection="1">
      <alignment vertical="center"/>
    </xf>
    <xf numFmtId="0" fontId="29" fillId="0" borderId="91" xfId="0" applyFont="1" applyFill="1" applyBorder="1" applyAlignment="1" applyProtection="1">
      <alignment vertical="center"/>
    </xf>
    <xf numFmtId="0" fontId="29" fillId="0" borderId="150" xfId="0" applyFont="1" applyFill="1" applyBorder="1" applyAlignment="1" applyProtection="1">
      <alignment vertical="center"/>
    </xf>
    <xf numFmtId="0" fontId="29" fillId="0" borderId="150" xfId="49" applyFont="1" applyFill="1" applyBorder="1" applyAlignment="1" applyProtection="1">
      <alignment horizontal="left" vertical="center"/>
    </xf>
    <xf numFmtId="0" fontId="41" fillId="0" borderId="325" xfId="0" applyFont="1" applyFill="1" applyBorder="1" applyAlignment="1" applyProtection="1">
      <alignment horizontal="left" vertical="center"/>
    </xf>
    <xf numFmtId="0" fontId="41" fillId="0" borderId="323" xfId="0" applyFont="1" applyFill="1" applyBorder="1" applyAlignment="1" applyProtection="1">
      <alignment horizontal="left" vertical="center"/>
    </xf>
    <xf numFmtId="0" fontId="29" fillId="0" borderId="323" xfId="49" applyFont="1" applyFill="1" applyBorder="1" applyAlignment="1" applyProtection="1">
      <alignment horizontal="left" vertical="center"/>
    </xf>
    <xf numFmtId="0" fontId="29" fillId="0" borderId="57" xfId="49" applyFont="1" applyFill="1" applyBorder="1" applyAlignment="1" applyProtection="1">
      <alignment horizontal="left" vertical="center"/>
    </xf>
    <xf numFmtId="0" fontId="28" fillId="74" borderId="311" xfId="49" applyFont="1" applyFill="1" applyBorder="1" applyAlignment="1" applyProtection="1">
      <alignment horizontal="left" vertical="center"/>
    </xf>
    <xf numFmtId="0" fontId="28" fillId="74" borderId="312" xfId="49" applyFont="1" applyFill="1" applyBorder="1" applyAlignment="1" applyProtection="1">
      <alignment horizontal="left" vertical="center"/>
    </xf>
    <xf numFmtId="0" fontId="28" fillId="74" borderId="320" xfId="49" applyFont="1" applyFill="1" applyBorder="1" applyAlignment="1" applyProtection="1">
      <alignment horizontal="left" vertical="center"/>
    </xf>
    <xf numFmtId="0" fontId="41" fillId="0" borderId="57" xfId="0" applyFont="1" applyFill="1" applyBorder="1" applyAlignment="1" applyProtection="1">
      <alignment horizontal="left" vertical="center"/>
    </xf>
    <xf numFmtId="0" fontId="41" fillId="0" borderId="0" xfId="0" applyFont="1" applyFill="1" applyBorder="1" applyAlignment="1" applyProtection="1">
      <alignment horizontal="left" vertical="center"/>
    </xf>
    <xf numFmtId="0" fontId="28" fillId="75" borderId="315" xfId="0" applyFont="1" applyFill="1" applyBorder="1" applyAlignment="1" applyProtection="1">
      <alignment horizontal="right" vertical="center"/>
    </xf>
    <xf numFmtId="0" fontId="28" fillId="76" borderId="92" xfId="49" applyFont="1" applyFill="1" applyBorder="1" applyAlignment="1" applyProtection="1">
      <alignment horizontal="left" vertical="center"/>
    </xf>
    <xf numFmtId="0" fontId="28" fillId="76" borderId="150" xfId="49" applyFont="1" applyFill="1" applyBorder="1" applyAlignment="1" applyProtection="1">
      <alignment horizontal="left" vertical="center"/>
    </xf>
    <xf numFmtId="0" fontId="41" fillId="0" borderId="325" xfId="49" applyFont="1" applyFill="1" applyBorder="1" applyAlignment="1" applyProtection="1">
      <alignment horizontal="left" vertical="center"/>
    </xf>
    <xf numFmtId="0" fontId="41" fillId="0" borderId="323" xfId="49" applyFont="1" applyFill="1" applyBorder="1" applyAlignment="1" applyProtection="1">
      <alignment horizontal="left" vertical="center"/>
    </xf>
    <xf numFmtId="0" fontId="41" fillId="0" borderId="321" xfId="49" applyFont="1" applyFill="1" applyBorder="1" applyAlignment="1" applyProtection="1">
      <alignment horizontal="left" vertical="center"/>
    </xf>
    <xf numFmtId="0" fontId="41" fillId="0" borderId="312" xfId="49" applyFont="1" applyFill="1" applyBorder="1" applyAlignment="1" applyProtection="1">
      <alignment horizontal="left" vertical="center"/>
    </xf>
    <xf numFmtId="0" fontId="41" fillId="0" borderId="313" xfId="49" applyFont="1" applyFill="1" applyBorder="1" applyAlignment="1" applyProtection="1">
      <alignment horizontal="left" vertical="center"/>
    </xf>
    <xf numFmtId="0" fontId="29" fillId="0" borderId="321" xfId="0" applyFont="1" applyFill="1" applyBorder="1" applyAlignment="1" applyProtection="1">
      <alignment horizontal="left" vertical="center"/>
    </xf>
    <xf numFmtId="0" fontId="29" fillId="0" borderId="312" xfId="0" applyFont="1" applyFill="1" applyBorder="1" applyAlignment="1" applyProtection="1">
      <alignment horizontal="left" vertical="center"/>
    </xf>
    <xf numFmtId="0" fontId="29" fillId="0" borderId="313" xfId="0" applyFont="1" applyFill="1" applyBorder="1" applyAlignment="1" applyProtection="1">
      <alignment horizontal="left" vertical="center"/>
    </xf>
    <xf numFmtId="0" fontId="29" fillId="0" borderId="11" xfId="49" applyFont="1" applyFill="1" applyBorder="1" applyAlignment="1" applyProtection="1">
      <alignment horizontal="left" vertical="center"/>
    </xf>
    <xf numFmtId="0" fontId="28" fillId="0" borderId="91" xfId="49" applyFont="1" applyFill="1" applyBorder="1" applyAlignment="1" applyProtection="1">
      <alignment horizontal="right" vertical="center"/>
    </xf>
    <xf numFmtId="0" fontId="28" fillId="0" borderId="150" xfId="49" applyFont="1" applyFill="1" applyBorder="1" applyAlignment="1" applyProtection="1">
      <alignment horizontal="right" vertical="center"/>
    </xf>
    <xf numFmtId="0" fontId="28" fillId="76" borderId="326" xfId="49" applyFont="1" applyFill="1" applyBorder="1" applyAlignment="1" applyProtection="1">
      <alignment horizontal="left" vertical="center"/>
    </xf>
    <xf numFmtId="0" fontId="28" fillId="0" borderId="57" xfId="49" applyFont="1" applyFill="1" applyBorder="1" applyAlignment="1" applyProtection="1">
      <alignment horizontal="left" vertical="center"/>
    </xf>
    <xf numFmtId="0" fontId="28" fillId="0" borderId="0" xfId="49" applyFont="1" applyFill="1" applyBorder="1" applyAlignment="1" applyProtection="1">
      <alignment horizontal="left" vertical="center"/>
    </xf>
    <xf numFmtId="0" fontId="28" fillId="77" borderId="311" xfId="49" applyFont="1" applyFill="1" applyBorder="1" applyAlignment="1" applyProtection="1">
      <alignment horizontal="center" vertical="center"/>
    </xf>
    <xf numFmtId="0" fontId="28" fillId="77" borderId="312" xfId="49" applyFont="1" applyFill="1" applyBorder="1" applyAlignment="1" applyProtection="1">
      <alignment horizontal="center" vertical="center"/>
    </xf>
    <xf numFmtId="0" fontId="28" fillId="77" borderId="320" xfId="49" applyFont="1" applyFill="1" applyBorder="1" applyAlignment="1" applyProtection="1">
      <alignment horizontal="center" vertical="center"/>
    </xf>
    <xf numFmtId="0" fontId="28" fillId="76" borderId="183" xfId="49" applyFont="1" applyFill="1" applyBorder="1" applyAlignment="1" applyProtection="1">
      <alignment horizontal="right" vertical="center"/>
    </xf>
    <xf numFmtId="0" fontId="28" fillId="76" borderId="0" xfId="49" applyFont="1" applyFill="1" applyBorder="1" applyAlignment="1" applyProtection="1">
      <alignment horizontal="right" vertical="center"/>
    </xf>
    <xf numFmtId="0" fontId="28" fillId="76" borderId="11" xfId="49" applyFont="1" applyFill="1" applyBorder="1" applyAlignment="1" applyProtection="1">
      <alignment horizontal="right" vertical="center"/>
    </xf>
    <xf numFmtId="0" fontId="28" fillId="76" borderId="152" xfId="49" applyFont="1" applyFill="1" applyBorder="1" applyAlignment="1" applyProtection="1">
      <alignment horizontal="left" vertical="center"/>
    </xf>
    <xf numFmtId="0" fontId="28" fillId="43" borderId="281" xfId="0" applyFont="1" applyFill="1" applyBorder="1" applyAlignment="1" applyProtection="1">
      <alignment horizontal="center" vertical="center" wrapText="1"/>
    </xf>
    <xf numFmtId="0" fontId="43" fillId="42" borderId="252" xfId="0" applyFont="1" applyFill="1" applyBorder="1" applyAlignment="1" applyProtection="1">
      <alignment horizontal="left" vertical="center" wrapText="1"/>
    </xf>
    <xf numFmtId="0" fontId="43" fillId="42" borderId="236" xfId="0" applyFont="1" applyFill="1" applyBorder="1" applyAlignment="1" applyProtection="1">
      <alignment horizontal="left" vertical="center" wrapText="1"/>
    </xf>
    <xf numFmtId="0" fontId="43" fillId="42" borderId="237" xfId="0" applyFont="1" applyFill="1" applyBorder="1" applyAlignment="1" applyProtection="1">
      <alignment horizontal="left" vertical="center" wrapText="1"/>
    </xf>
    <xf numFmtId="0" fontId="32" fillId="52" borderId="308" xfId="0" applyFont="1" applyFill="1" applyBorder="1" applyAlignment="1">
      <alignment horizontal="right" vertical="center"/>
    </xf>
    <xf numFmtId="0" fontId="32" fillId="52" borderId="309" xfId="0" applyFont="1" applyFill="1" applyBorder="1" applyAlignment="1">
      <alignment horizontal="right" vertical="center"/>
    </xf>
    <xf numFmtId="0" fontId="32" fillId="0" borderId="183" xfId="0" applyFont="1" applyBorder="1" applyAlignment="1">
      <alignment horizontal="left" vertical="center"/>
    </xf>
    <xf numFmtId="0" fontId="33" fillId="42" borderId="183" xfId="0" applyFont="1" applyFill="1" applyBorder="1" applyAlignment="1" applyProtection="1">
      <alignment horizontal="left" vertical="center"/>
    </xf>
    <xf numFmtId="0" fontId="32" fillId="42" borderId="183" xfId="0" applyFont="1" applyFill="1" applyBorder="1" applyAlignment="1" applyProtection="1">
      <alignment horizontal="left" vertical="center" wrapText="1"/>
    </xf>
    <xf numFmtId="0" fontId="32" fillId="42" borderId="183" xfId="0" applyFont="1" applyFill="1" applyBorder="1" applyAlignment="1" applyProtection="1">
      <alignment horizontal="left" vertical="center"/>
    </xf>
    <xf numFmtId="0" fontId="28" fillId="43" borderId="282" xfId="0" applyFont="1" applyFill="1" applyBorder="1" applyAlignment="1" applyProtection="1">
      <alignment horizontal="center" vertical="center" wrapText="1"/>
    </xf>
    <xf numFmtId="0" fontId="32" fillId="43" borderId="296" xfId="0" applyFont="1" applyFill="1" applyBorder="1" applyAlignment="1">
      <alignment horizontal="right" vertical="center"/>
    </xf>
    <xf numFmtId="0" fontId="32" fillId="43" borderId="297" xfId="0" applyFont="1" applyFill="1" applyBorder="1" applyAlignment="1">
      <alignment horizontal="right" vertical="center"/>
    </xf>
    <xf numFmtId="0" fontId="28" fillId="43" borderId="298" xfId="0" applyFont="1" applyFill="1" applyBorder="1" applyAlignment="1">
      <alignment horizontal="center" vertical="center"/>
    </xf>
    <xf numFmtId="0" fontId="28" fillId="43" borderId="301" xfId="0" applyFont="1" applyFill="1" applyBorder="1" applyAlignment="1">
      <alignment horizontal="center" vertical="center"/>
    </xf>
    <xf numFmtId="0" fontId="28" fillId="43" borderId="299" xfId="0" applyFont="1" applyFill="1" applyBorder="1" applyAlignment="1">
      <alignment horizontal="center" vertical="center" wrapText="1"/>
    </xf>
    <xf numFmtId="0" fontId="28" fillId="43" borderId="302" xfId="0" applyFont="1" applyFill="1" applyBorder="1" applyAlignment="1">
      <alignment horizontal="center" vertical="center" wrapText="1"/>
    </xf>
    <xf numFmtId="0" fontId="28" fillId="43" borderId="300" xfId="0" applyFont="1" applyFill="1" applyBorder="1" applyAlignment="1">
      <alignment horizontal="center" vertical="center" wrapText="1"/>
    </xf>
    <xf numFmtId="0" fontId="28" fillId="43" borderId="303" xfId="0" applyFont="1" applyFill="1" applyBorder="1" applyAlignment="1">
      <alignment horizontal="center" vertical="center" wrapText="1"/>
    </xf>
    <xf numFmtId="0" fontId="32" fillId="43" borderId="293" xfId="0" applyFont="1" applyFill="1" applyBorder="1" applyAlignment="1">
      <alignment horizontal="right" vertical="center"/>
    </xf>
    <xf numFmtId="0" fontId="32" fillId="43" borderId="294" xfId="0" applyFont="1" applyFill="1" applyBorder="1" applyAlignment="1">
      <alignment horizontal="right" vertical="center"/>
    </xf>
    <xf numFmtId="0" fontId="32" fillId="62" borderId="308" xfId="0" applyFont="1" applyFill="1" applyBorder="1" applyAlignment="1">
      <alignment horizontal="right" vertical="center"/>
    </xf>
    <xf numFmtId="0" fontId="32" fillId="62" borderId="309" xfId="0" applyFont="1" applyFill="1" applyBorder="1" applyAlignment="1">
      <alignment horizontal="right" vertical="center"/>
    </xf>
    <xf numFmtId="0" fontId="28" fillId="45" borderId="243" xfId="0" applyFont="1" applyFill="1" applyBorder="1" applyAlignment="1">
      <alignment horizontal="right" vertical="center"/>
    </xf>
    <xf numFmtId="0" fontId="28" fillId="45" borderId="244" xfId="0" applyFont="1" applyFill="1" applyBorder="1" applyAlignment="1">
      <alignment horizontal="right" vertical="center"/>
    </xf>
    <xf numFmtId="0" fontId="28" fillId="45" borderId="212" xfId="0" applyFont="1" applyFill="1" applyBorder="1" applyAlignment="1">
      <alignment horizontal="right" vertical="center"/>
    </xf>
    <xf numFmtId="0" fontId="28" fillId="45" borderId="213" xfId="0" applyFont="1" applyFill="1" applyBorder="1" applyAlignment="1">
      <alignment horizontal="right" vertical="center"/>
    </xf>
    <xf numFmtId="0" fontId="28" fillId="45" borderId="233" xfId="0" applyFont="1" applyFill="1" applyBorder="1" applyAlignment="1">
      <alignment horizontal="right" vertical="center"/>
    </xf>
    <xf numFmtId="0" fontId="28" fillId="45" borderId="235" xfId="0" applyFont="1" applyFill="1" applyBorder="1" applyAlignment="1">
      <alignment horizontal="right" vertical="center"/>
    </xf>
    <xf numFmtId="1" fontId="33" fillId="42" borderId="354" xfId="0" applyNumberFormat="1" applyFont="1" applyFill="1" applyBorder="1" applyAlignment="1">
      <alignment horizontal="center" vertical="center"/>
    </xf>
    <xf numFmtId="0" fontId="32" fillId="0" borderId="198" xfId="0" applyFont="1" applyBorder="1" applyAlignment="1" applyProtection="1">
      <alignment horizontal="center" vertical="center" wrapText="1"/>
    </xf>
    <xf numFmtId="0" fontId="32" fillId="0" borderId="178" xfId="0" applyFont="1" applyBorder="1" applyAlignment="1" applyProtection="1">
      <alignment horizontal="center" vertical="center" wrapText="1"/>
    </xf>
    <xf numFmtId="0" fontId="32" fillId="0" borderId="181" xfId="0" applyFont="1" applyBorder="1" applyAlignment="1" applyProtection="1">
      <alignment horizontal="center" vertical="center" wrapText="1"/>
    </xf>
    <xf numFmtId="0" fontId="32" fillId="39" borderId="252" xfId="49" applyFont="1" applyFill="1" applyBorder="1" applyAlignment="1" applyProtection="1">
      <alignment horizontal="center" vertical="center"/>
    </xf>
    <xf numFmtId="0" fontId="32" fillId="39" borderId="264" xfId="49" applyFont="1" applyFill="1" applyBorder="1" applyAlignment="1" applyProtection="1">
      <alignment horizontal="center" vertical="center"/>
    </xf>
    <xf numFmtId="0" fontId="32" fillId="39" borderId="237" xfId="49" applyFont="1" applyFill="1" applyBorder="1" applyAlignment="1" applyProtection="1">
      <alignment horizontal="center" vertical="center"/>
    </xf>
    <xf numFmtId="0" fontId="32" fillId="0" borderId="200" xfId="33" applyFont="1" applyBorder="1" applyAlignment="1">
      <alignment horizontal="center" vertical="center" wrapText="1"/>
    </xf>
    <xf numFmtId="0" fontId="32" fillId="0" borderId="241" xfId="33" applyFont="1" applyBorder="1" applyAlignment="1">
      <alignment horizontal="center" vertical="center" wrapText="1"/>
    </xf>
    <xf numFmtId="0" fontId="32" fillId="0" borderId="251" xfId="33" applyFont="1" applyBorder="1" applyAlignment="1">
      <alignment horizontal="center" vertical="center" wrapText="1"/>
    </xf>
    <xf numFmtId="0" fontId="32" fillId="22" borderId="183" xfId="0" applyFont="1" applyFill="1" applyBorder="1" applyAlignment="1" applyProtection="1">
      <alignment horizontal="center" vertical="center" wrapText="1"/>
      <protection locked="0"/>
    </xf>
    <xf numFmtId="0" fontId="32" fillId="0" borderId="200" xfId="0" applyFont="1" applyBorder="1" applyAlignment="1">
      <alignment horizontal="center"/>
    </xf>
    <xf numFmtId="0" fontId="32" fillId="0" borderId="241" xfId="0" applyFont="1" applyBorder="1" applyAlignment="1">
      <alignment horizontal="center"/>
    </xf>
    <xf numFmtId="0" fontId="32" fillId="0" borderId="251" xfId="0" applyFont="1" applyBorder="1" applyAlignment="1">
      <alignment horizontal="center"/>
    </xf>
    <xf numFmtId="0" fontId="28" fillId="45" borderId="256" xfId="0" applyFont="1" applyFill="1" applyBorder="1" applyAlignment="1">
      <alignment horizontal="right" vertical="center"/>
    </xf>
    <xf numFmtId="0" fontId="32" fillId="43" borderId="0" xfId="0" applyFont="1" applyFill="1" applyBorder="1" applyAlignment="1">
      <alignment horizontal="right" vertical="center"/>
    </xf>
    <xf numFmtId="0" fontId="32" fillId="43" borderId="11" xfId="0" applyFont="1" applyFill="1" applyBorder="1" applyAlignment="1">
      <alignment horizontal="right" vertical="center"/>
    </xf>
    <xf numFmtId="0" fontId="32" fillId="43" borderId="328" xfId="0" applyFont="1" applyFill="1" applyBorder="1" applyAlignment="1">
      <alignment horizontal="right" vertical="center"/>
    </xf>
    <xf numFmtId="0" fontId="32" fillId="43" borderId="333" xfId="0" applyFont="1" applyFill="1" applyBorder="1" applyAlignment="1">
      <alignment horizontal="right" vertical="center"/>
    </xf>
    <xf numFmtId="0" fontId="32" fillId="43" borderId="264" xfId="0" applyFont="1" applyFill="1" applyBorder="1" applyAlignment="1">
      <alignment horizontal="right" vertical="center"/>
    </xf>
    <xf numFmtId="0" fontId="28" fillId="43" borderId="280" xfId="0" applyFont="1" applyFill="1" applyBorder="1" applyAlignment="1" applyProtection="1">
      <alignment horizontal="center" vertical="center" wrapText="1"/>
    </xf>
    <xf numFmtId="0" fontId="32" fillId="43" borderId="277" xfId="0" applyFont="1" applyFill="1" applyBorder="1" applyAlignment="1">
      <alignment horizontal="right" vertical="center"/>
    </xf>
    <xf numFmtId="0" fontId="32" fillId="43" borderId="278" xfId="0" applyFont="1" applyFill="1" applyBorder="1" applyAlignment="1">
      <alignment horizontal="right" vertical="center"/>
    </xf>
    <xf numFmtId="0" fontId="28" fillId="43" borderId="299" xfId="0" applyFont="1" applyFill="1" applyBorder="1" applyAlignment="1">
      <alignment horizontal="center" vertical="center"/>
    </xf>
    <xf numFmtId="0" fontId="28" fillId="43" borderId="302" xfId="0" applyFont="1" applyFill="1" applyBorder="1" applyAlignment="1">
      <alignment horizontal="center" vertical="center"/>
    </xf>
    <xf numFmtId="0" fontId="32" fillId="51" borderId="384" xfId="0" applyFont="1" applyFill="1" applyBorder="1" applyAlignment="1">
      <alignment horizontal="right" vertical="center"/>
    </xf>
    <xf numFmtId="0" fontId="32" fillId="51" borderId="385" xfId="0" applyFont="1" applyFill="1" applyBorder="1" applyAlignment="1">
      <alignment horizontal="right" vertical="center"/>
    </xf>
    <xf numFmtId="0" fontId="32" fillId="49" borderId="317" xfId="0" applyFont="1" applyFill="1" applyBorder="1" applyAlignment="1">
      <alignment horizontal="center" vertical="center"/>
    </xf>
    <xf numFmtId="0" fontId="32" fillId="49" borderId="318" xfId="0" applyFont="1" applyFill="1" applyBorder="1" applyAlignment="1">
      <alignment horizontal="center" vertical="center"/>
    </xf>
    <xf numFmtId="0" fontId="32" fillId="49" borderId="319" xfId="0" applyFont="1" applyFill="1" applyBorder="1" applyAlignment="1">
      <alignment horizontal="center" vertical="center"/>
    </xf>
    <xf numFmtId="0" fontId="32" fillId="0" borderId="360" xfId="0" applyFont="1" applyFill="1" applyBorder="1" applyAlignment="1">
      <alignment horizontal="center" vertical="center"/>
    </xf>
    <xf numFmtId="0" fontId="32" fillId="0" borderId="378" xfId="0" applyFont="1" applyFill="1" applyBorder="1" applyAlignment="1">
      <alignment horizontal="center" vertical="center"/>
    </xf>
    <xf numFmtId="0" fontId="32" fillId="0" borderId="330" xfId="0" applyFont="1" applyFill="1" applyBorder="1" applyAlignment="1">
      <alignment horizontal="center" vertical="center"/>
    </xf>
    <xf numFmtId="0" fontId="32" fillId="45" borderId="71" xfId="0" applyFont="1" applyFill="1" applyBorder="1" applyAlignment="1">
      <alignment horizontal="right" vertical="center"/>
    </xf>
    <xf numFmtId="0" fontId="32" fillId="45" borderId="363" xfId="0" applyFont="1" applyFill="1" applyBorder="1" applyAlignment="1">
      <alignment horizontal="right" vertical="center"/>
    </xf>
    <xf numFmtId="0" fontId="32" fillId="45" borderId="377" xfId="0" applyFont="1" applyFill="1" applyBorder="1" applyAlignment="1">
      <alignment horizontal="right" vertical="center"/>
    </xf>
    <xf numFmtId="0" fontId="33" fillId="70" borderId="384" xfId="0" applyFont="1" applyFill="1" applyBorder="1" applyAlignment="1">
      <alignment horizontal="right" vertical="center"/>
    </xf>
    <xf numFmtId="0" fontId="33" fillId="70" borderId="385" xfId="0" applyFont="1" applyFill="1" applyBorder="1" applyAlignment="1">
      <alignment horizontal="right" vertical="center"/>
    </xf>
    <xf numFmtId="0" fontId="32" fillId="57" borderId="381" xfId="0" applyFont="1" applyFill="1" applyBorder="1" applyAlignment="1">
      <alignment horizontal="right" vertical="center"/>
    </xf>
    <xf numFmtId="0" fontId="32" fillId="57" borderId="382" xfId="0" applyFont="1" applyFill="1" applyBorder="1" applyAlignment="1">
      <alignment horizontal="right" vertical="center"/>
    </xf>
    <xf numFmtId="0" fontId="33" fillId="70" borderId="349" xfId="0" applyFont="1" applyFill="1" applyBorder="1" applyAlignment="1">
      <alignment horizontal="right" vertical="center"/>
    </xf>
    <xf numFmtId="0" fontId="33" fillId="70" borderId="350" xfId="0" applyFont="1" applyFill="1" applyBorder="1" applyAlignment="1">
      <alignment horizontal="right" vertical="center"/>
    </xf>
    <xf numFmtId="0" fontId="32" fillId="43" borderId="384" xfId="0" applyFont="1" applyFill="1" applyBorder="1" applyAlignment="1">
      <alignment horizontal="right" vertical="center"/>
    </xf>
    <xf numFmtId="0" fontId="32" fillId="43" borderId="385" xfId="0" applyFont="1" applyFill="1" applyBorder="1" applyAlignment="1">
      <alignment horizontal="right" vertical="center"/>
    </xf>
    <xf numFmtId="0" fontId="32" fillId="56" borderId="44" xfId="0" applyFont="1" applyFill="1" applyBorder="1" applyAlignment="1">
      <alignment horizontal="right" vertical="center"/>
    </xf>
    <xf numFmtId="0" fontId="32" fillId="56" borderId="63" xfId="0" applyFont="1" applyFill="1" applyBorder="1" applyAlignment="1">
      <alignment horizontal="right" vertical="center"/>
    </xf>
    <xf numFmtId="0" fontId="32" fillId="56" borderId="100" xfId="0" applyFont="1" applyFill="1" applyBorder="1" applyAlignment="1">
      <alignment horizontal="right" vertical="center"/>
    </xf>
    <xf numFmtId="0" fontId="32" fillId="62" borderId="317" xfId="0" applyFont="1" applyFill="1" applyBorder="1" applyAlignment="1">
      <alignment horizontal="right" vertical="center"/>
    </xf>
    <xf numFmtId="0" fontId="32" fillId="62" borderId="318" xfId="0" applyFont="1" applyFill="1" applyBorder="1" applyAlignment="1">
      <alignment horizontal="right" vertical="center"/>
    </xf>
    <xf numFmtId="0" fontId="32" fillId="57" borderId="317" xfId="0" applyFont="1" applyFill="1" applyBorder="1" applyAlignment="1">
      <alignment horizontal="right" vertical="center"/>
    </xf>
    <xf numFmtId="0" fontId="32" fillId="57" borderId="318" xfId="0" applyFont="1" applyFill="1" applyBorder="1" applyAlignment="1">
      <alignment horizontal="right" vertical="center"/>
    </xf>
    <xf numFmtId="0" fontId="32" fillId="57" borderId="250" xfId="0" applyFont="1" applyFill="1" applyBorder="1" applyAlignment="1">
      <alignment horizontal="right" vertical="center"/>
    </xf>
    <xf numFmtId="0" fontId="32" fillId="63" borderId="318" xfId="0" applyFont="1" applyFill="1" applyBorder="1" applyAlignment="1">
      <alignment horizontal="right" vertical="center"/>
    </xf>
    <xf numFmtId="0" fontId="32" fillId="63" borderId="363" xfId="0" applyFont="1" applyFill="1" applyBorder="1" applyAlignment="1">
      <alignment horizontal="right" vertical="center"/>
    </xf>
    <xf numFmtId="0" fontId="32" fillId="63" borderId="377" xfId="0" applyFont="1" applyFill="1" applyBorder="1" applyAlignment="1">
      <alignment horizontal="right" vertical="center"/>
    </xf>
    <xf numFmtId="0" fontId="43" fillId="42" borderId="189" xfId="0" applyFont="1" applyFill="1" applyBorder="1" applyAlignment="1" applyProtection="1">
      <alignment horizontal="left" vertical="center" wrapText="1"/>
    </xf>
    <xf numFmtId="0" fontId="43" fillId="42" borderId="191" xfId="0" applyFont="1" applyFill="1" applyBorder="1" applyAlignment="1" applyProtection="1">
      <alignment horizontal="left" vertical="center" wrapText="1"/>
    </xf>
    <xf numFmtId="0" fontId="43" fillId="42" borderId="190" xfId="0" applyFont="1" applyFill="1" applyBorder="1" applyAlignment="1" applyProtection="1">
      <alignment horizontal="left" vertical="center" wrapText="1"/>
    </xf>
    <xf numFmtId="0" fontId="32" fillId="42" borderId="388" xfId="0" applyFont="1" applyFill="1" applyBorder="1" applyAlignment="1">
      <alignment horizontal="center" vertical="center"/>
    </xf>
    <xf numFmtId="0" fontId="32" fillId="42" borderId="378" xfId="0" applyFont="1" applyFill="1" applyBorder="1" applyAlignment="1">
      <alignment horizontal="center" vertical="center"/>
    </xf>
    <xf numFmtId="0" fontId="32" fillId="42" borderId="379" xfId="0" applyFont="1" applyFill="1" applyBorder="1" applyAlignment="1">
      <alignment horizontal="center" vertical="center"/>
    </xf>
    <xf numFmtId="0" fontId="32" fillId="42" borderId="252" xfId="0" applyFont="1" applyFill="1" applyBorder="1" applyAlignment="1">
      <alignment horizontal="center" vertical="center"/>
    </xf>
    <xf numFmtId="0" fontId="32" fillId="42" borderId="264" xfId="0" applyFont="1" applyFill="1" applyBorder="1" applyAlignment="1">
      <alignment horizontal="center" vertical="center"/>
    </xf>
    <xf numFmtId="0" fontId="32" fillId="42" borderId="237" xfId="0" applyFont="1" applyFill="1" applyBorder="1" applyAlignment="1">
      <alignment horizontal="center" vertical="center"/>
    </xf>
    <xf numFmtId="0" fontId="33" fillId="70" borderId="92" xfId="0" applyFont="1" applyFill="1" applyBorder="1" applyAlignment="1">
      <alignment horizontal="right" vertical="center"/>
    </xf>
    <xf numFmtId="0" fontId="33" fillId="70" borderId="386" xfId="0" applyFont="1" applyFill="1" applyBorder="1" applyAlignment="1">
      <alignment horizontal="right" vertical="center"/>
    </xf>
    <xf numFmtId="0" fontId="33" fillId="70" borderId="387" xfId="0" applyFont="1" applyFill="1" applyBorder="1" applyAlignment="1">
      <alignment horizontal="right" vertical="center"/>
    </xf>
    <xf numFmtId="0" fontId="32" fillId="42" borderId="183" xfId="0" applyFont="1" applyFill="1" applyBorder="1" applyAlignment="1">
      <alignment horizontal="center" vertical="center"/>
    </xf>
    <xf numFmtId="0" fontId="32" fillId="42" borderId="0" xfId="0" applyFont="1" applyFill="1" applyBorder="1" applyAlignment="1">
      <alignment horizontal="center" vertical="center"/>
    </xf>
    <xf numFmtId="0" fontId="32" fillId="42" borderId="35" xfId="0" applyFont="1" applyFill="1" applyBorder="1" applyAlignment="1">
      <alignment horizontal="center" vertical="center"/>
    </xf>
    <xf numFmtId="0" fontId="32" fillId="45" borderId="44" xfId="0" applyFont="1" applyFill="1" applyBorder="1" applyAlignment="1">
      <alignment horizontal="right" vertical="center"/>
    </xf>
    <xf numFmtId="0" fontId="32" fillId="45" borderId="63" xfId="0" applyFont="1" applyFill="1" applyBorder="1" applyAlignment="1">
      <alignment horizontal="right" vertical="center"/>
    </xf>
    <xf numFmtId="0" fontId="33" fillId="45" borderId="364" xfId="0" applyFont="1" applyFill="1" applyBorder="1" applyAlignment="1">
      <alignment horizontal="right" vertical="center"/>
    </xf>
    <xf numFmtId="0" fontId="33" fillId="45" borderId="375" xfId="0" applyFont="1" applyFill="1" applyBorder="1" applyAlignment="1">
      <alignment horizontal="right" vertical="center"/>
    </xf>
    <xf numFmtId="0" fontId="33" fillId="45" borderId="376" xfId="0" applyFont="1" applyFill="1" applyBorder="1" applyAlignment="1">
      <alignment horizontal="right" vertical="center"/>
    </xf>
    <xf numFmtId="0" fontId="32" fillId="0" borderId="379" xfId="0" applyFont="1" applyFill="1" applyBorder="1" applyAlignment="1">
      <alignment horizontal="center" vertical="center"/>
    </xf>
    <xf numFmtId="0" fontId="32" fillId="0" borderId="252" xfId="0" applyFont="1" applyFill="1" applyBorder="1" applyAlignment="1">
      <alignment horizontal="center" vertical="center"/>
    </xf>
    <xf numFmtId="0" fontId="32" fillId="0" borderId="264" xfId="0" applyFont="1" applyFill="1" applyBorder="1" applyAlignment="1">
      <alignment horizontal="center" vertical="center"/>
    </xf>
    <xf numFmtId="0" fontId="32" fillId="0" borderId="237" xfId="0" applyFont="1" applyFill="1" applyBorder="1" applyAlignment="1">
      <alignment horizontal="center" vertical="center"/>
    </xf>
    <xf numFmtId="0" fontId="32" fillId="57" borderId="44" xfId="0" applyFont="1" applyFill="1" applyBorder="1" applyAlignment="1">
      <alignment horizontal="right" vertical="center"/>
    </xf>
    <xf numFmtId="0" fontId="32" fillId="57" borderId="63" xfId="0" applyFont="1" applyFill="1" applyBorder="1" applyAlignment="1">
      <alignment horizontal="right" vertical="center"/>
    </xf>
    <xf numFmtId="0" fontId="32" fillId="0" borderId="360" xfId="0" applyFont="1" applyBorder="1" applyAlignment="1" applyProtection="1">
      <alignment horizontal="center" vertical="center" wrapText="1"/>
    </xf>
    <xf numFmtId="0" fontId="32" fillId="0" borderId="361" xfId="0" applyFont="1" applyBorder="1" applyAlignment="1" applyProtection="1">
      <alignment horizontal="center" vertical="center" wrapText="1"/>
    </xf>
    <xf numFmtId="0" fontId="32" fillId="0" borderId="330" xfId="0" applyFont="1" applyBorder="1" applyAlignment="1" applyProtection="1">
      <alignment horizontal="center" vertical="center" wrapText="1"/>
    </xf>
    <xf numFmtId="0" fontId="32" fillId="39" borderId="252" xfId="49" applyFont="1" applyFill="1" applyBorder="1" applyAlignment="1" applyProtection="1">
      <alignment horizontal="center" vertical="center" wrapText="1"/>
    </xf>
    <xf numFmtId="0" fontId="32" fillId="39" borderId="264" xfId="49" applyFont="1" applyFill="1" applyBorder="1" applyAlignment="1" applyProtection="1">
      <alignment horizontal="center" vertical="center" wrapText="1"/>
    </xf>
    <xf numFmtId="0" fontId="32" fillId="39" borderId="237" xfId="49" applyFont="1" applyFill="1" applyBorder="1" applyAlignment="1" applyProtection="1">
      <alignment horizontal="center" vertical="center" wrapText="1"/>
    </xf>
    <xf numFmtId="0" fontId="48" fillId="0" borderId="159" xfId="33" applyFont="1" applyBorder="1" applyAlignment="1">
      <alignment horizontal="center" vertical="center" wrapText="1"/>
    </xf>
    <xf numFmtId="0" fontId="48" fillId="0" borderId="329" xfId="33" applyFont="1" applyBorder="1" applyAlignment="1">
      <alignment horizontal="center" vertical="center" wrapText="1"/>
    </xf>
    <xf numFmtId="0" fontId="48" fillId="0" borderId="332" xfId="33" applyFont="1" applyBorder="1" applyAlignment="1">
      <alignment horizontal="center" vertical="center" wrapText="1"/>
    </xf>
    <xf numFmtId="0" fontId="32" fillId="0" borderId="360" xfId="0" applyFont="1" applyFill="1" applyBorder="1" applyAlignment="1" applyProtection="1">
      <alignment horizontal="center" vertical="center" wrapText="1"/>
      <protection locked="0"/>
    </xf>
    <xf numFmtId="0" fontId="32" fillId="0" borderId="361" xfId="0" applyFont="1" applyFill="1" applyBorder="1" applyAlignment="1" applyProtection="1">
      <alignment horizontal="center" vertical="center" wrapText="1"/>
      <protection locked="0"/>
    </xf>
    <xf numFmtId="0" fontId="32" fillId="0" borderId="330" xfId="0" applyFont="1" applyFill="1" applyBorder="1" applyAlignment="1" applyProtection="1">
      <alignment horizontal="center" vertical="center" wrapText="1"/>
      <protection locked="0"/>
    </xf>
    <xf numFmtId="0" fontId="32" fillId="0" borderId="252" xfId="0" applyFont="1" applyFill="1" applyBorder="1" applyAlignment="1" applyProtection="1">
      <alignment horizontal="center" vertical="center" wrapText="1"/>
      <protection locked="0"/>
    </xf>
    <xf numFmtId="0" fontId="32" fillId="0" borderId="264" xfId="0" applyFont="1" applyFill="1" applyBorder="1" applyAlignment="1" applyProtection="1">
      <alignment horizontal="center" vertical="center" wrapText="1"/>
      <protection locked="0"/>
    </xf>
    <xf numFmtId="0" fontId="32" fillId="0" borderId="237" xfId="0" applyFont="1" applyFill="1" applyBorder="1" applyAlignment="1" applyProtection="1">
      <alignment horizontal="center" vertical="center" wrapText="1"/>
      <protection locked="0"/>
    </xf>
    <xf numFmtId="0" fontId="32" fillId="65" borderId="370" xfId="0" applyFont="1" applyFill="1" applyBorder="1" applyAlignment="1">
      <alignment horizontal="right" vertical="center"/>
    </xf>
    <xf numFmtId="0" fontId="32" fillId="65" borderId="371" xfId="0" applyFont="1" applyFill="1" applyBorder="1" applyAlignment="1">
      <alignment horizontal="right" vertical="center"/>
    </xf>
    <xf numFmtId="0" fontId="33" fillId="69" borderId="384" xfId="0" applyFont="1" applyFill="1" applyBorder="1" applyAlignment="1">
      <alignment horizontal="right" vertical="center"/>
    </xf>
    <xf numFmtId="0" fontId="33" fillId="69" borderId="385" xfId="0" applyFont="1" applyFill="1" applyBorder="1" applyAlignment="1">
      <alignment horizontal="right" vertical="center"/>
    </xf>
    <xf numFmtId="0" fontId="32" fillId="43" borderId="364" xfId="0" applyFont="1" applyFill="1" applyBorder="1" applyAlignment="1">
      <alignment horizontal="right" vertical="center"/>
    </xf>
    <xf numFmtId="0" fontId="32" fillId="43" borderId="375" xfId="0" applyFont="1" applyFill="1" applyBorder="1" applyAlignment="1">
      <alignment horizontal="right" vertical="center"/>
    </xf>
    <xf numFmtId="0" fontId="32" fillId="62" borderId="238" xfId="0" applyFont="1" applyFill="1" applyBorder="1" applyAlignment="1">
      <alignment horizontal="right" vertical="center"/>
    </xf>
    <xf numFmtId="1" fontId="33" fillId="69" borderId="349" xfId="0" applyNumberFormat="1" applyFont="1" applyFill="1" applyBorder="1" applyAlignment="1">
      <alignment horizontal="right" vertical="center"/>
    </xf>
    <xf numFmtId="0" fontId="33" fillId="69" borderId="350" xfId="0" applyFont="1" applyFill="1" applyBorder="1" applyAlignment="1">
      <alignment horizontal="right" vertical="center"/>
    </xf>
    <xf numFmtId="0" fontId="32" fillId="57" borderId="238" xfId="0" applyFont="1" applyFill="1" applyBorder="1" applyAlignment="1">
      <alignment horizontal="right" vertical="center"/>
    </xf>
    <xf numFmtId="0" fontId="32" fillId="65" borderId="44" xfId="0" applyFont="1" applyFill="1" applyBorder="1" applyAlignment="1">
      <alignment horizontal="right" vertical="center"/>
    </xf>
    <xf numFmtId="0" fontId="32" fillId="65" borderId="63" xfId="0" applyFont="1" applyFill="1" applyBorder="1" applyAlignment="1">
      <alignment horizontal="right" vertical="center"/>
    </xf>
    <xf numFmtId="0" fontId="33" fillId="45" borderId="317" xfId="0" applyFont="1" applyFill="1" applyBorder="1" applyAlignment="1">
      <alignment horizontal="right" vertical="center"/>
    </xf>
    <xf numFmtId="0" fontId="33" fillId="45" borderId="318" xfId="0" applyFont="1" applyFill="1" applyBorder="1" applyAlignment="1">
      <alignment horizontal="right" vertical="center"/>
    </xf>
    <xf numFmtId="0" fontId="29" fillId="0" borderId="165" xfId="0" applyFont="1" applyFill="1" applyBorder="1" applyAlignment="1">
      <alignment horizontal="center" vertical="center" wrapText="1"/>
    </xf>
    <xf numFmtId="44" fontId="29" fillId="0" borderId="138" xfId="50" applyNumberFormat="1" applyFont="1" applyBorder="1" applyAlignment="1">
      <alignment horizontal="center" vertical="center" wrapText="1"/>
    </xf>
    <xf numFmtId="0" fontId="29" fillId="0" borderId="162" xfId="50" applyNumberFormat="1" applyFont="1" applyBorder="1" applyAlignment="1">
      <alignment horizontal="center" vertical="center" wrapText="1"/>
    </xf>
    <xf numFmtId="44" fontId="29" fillId="0" borderId="173" xfId="50" applyNumberFormat="1" applyFont="1" applyBorder="1" applyAlignment="1">
      <alignment horizontal="center" vertical="center" wrapText="1"/>
    </xf>
    <xf numFmtId="0" fontId="29" fillId="0" borderId="212" xfId="50" applyNumberFormat="1" applyFont="1" applyBorder="1" applyAlignment="1">
      <alignment horizontal="center" vertical="center" wrapText="1"/>
    </xf>
    <xf numFmtId="44" fontId="29" fillId="0" borderId="234" xfId="50" applyNumberFormat="1" applyFont="1" applyBorder="1" applyAlignment="1">
      <alignment horizontal="center" vertical="center" wrapText="1"/>
    </xf>
    <xf numFmtId="0" fontId="29" fillId="0" borderId="137" xfId="50" applyNumberFormat="1" applyFont="1" applyFill="1" applyBorder="1" applyAlignment="1">
      <alignment horizontal="center" vertical="center" wrapText="1"/>
    </xf>
    <xf numFmtId="44" fontId="29" fillId="24" borderId="164" xfId="48" applyNumberFormat="1" applyFont="1" applyFill="1" applyBorder="1" applyAlignment="1">
      <alignment horizontal="center" vertical="center" wrapText="1"/>
    </xf>
    <xf numFmtId="0" fontId="29" fillId="24" borderId="0" xfId="47" applyFont="1" applyFill="1" applyAlignment="1">
      <alignment vertical="center" wrapText="1"/>
    </xf>
    <xf numFmtId="0" fontId="29" fillId="0" borderId="315" xfId="48" applyNumberFormat="1" applyFont="1" applyFill="1" applyBorder="1" applyAlignment="1">
      <alignment horizontal="center" vertical="center"/>
    </xf>
    <xf numFmtId="0" fontId="29" fillId="0" borderId="315" xfId="48" applyNumberFormat="1" applyFont="1" applyFill="1" applyBorder="1" applyAlignment="1">
      <alignment horizontal="center" vertical="center" wrapText="1"/>
    </xf>
    <xf numFmtId="44" fontId="28" fillId="61" borderId="196" xfId="50" applyNumberFormat="1" applyFont="1" applyFill="1" applyBorder="1" applyAlignment="1">
      <alignment horizontal="right" vertical="center"/>
    </xf>
    <xf numFmtId="44" fontId="28" fillId="61" borderId="196" xfId="48" applyNumberFormat="1" applyFont="1" applyFill="1" applyBorder="1" applyAlignment="1">
      <alignment horizontal="right" vertical="center"/>
    </xf>
    <xf numFmtId="0" fontId="50" fillId="63" borderId="317" xfId="0" applyFont="1" applyFill="1" applyBorder="1" applyAlignment="1">
      <alignment horizontal="right" vertical="center"/>
    </xf>
    <xf numFmtId="0" fontId="50" fillId="63" borderId="318" xfId="0" applyFont="1" applyFill="1" applyBorder="1" applyAlignment="1">
      <alignment horizontal="right" vertical="center"/>
    </xf>
    <xf numFmtId="0" fontId="50" fillId="63" borderId="250" xfId="0" applyFont="1" applyFill="1" applyBorder="1" applyAlignment="1">
      <alignment horizontal="right" vertical="center"/>
    </xf>
    <xf numFmtId="174" fontId="50" fillId="67" borderId="310" xfId="0" applyNumberFormat="1" applyFont="1" applyFill="1" applyBorder="1"/>
    <xf numFmtId="0" fontId="50" fillId="63" borderId="71" xfId="0" applyFont="1" applyFill="1" applyBorder="1" applyAlignment="1">
      <alignment horizontal="right" vertical="center"/>
    </xf>
    <xf numFmtId="0" fontId="50" fillId="63" borderId="373" xfId="0" applyFont="1" applyFill="1" applyBorder="1" applyAlignment="1">
      <alignment horizontal="right" vertical="center"/>
    </xf>
    <xf numFmtId="0" fontId="50" fillId="63" borderId="374" xfId="0" applyFont="1" applyFill="1" applyBorder="1" applyAlignment="1">
      <alignment horizontal="right" vertical="center"/>
    </xf>
    <xf numFmtId="174" fontId="50" fillId="55" borderId="64" xfId="0" applyNumberFormat="1" applyFont="1" applyFill="1" applyBorder="1"/>
    <xf numFmtId="0" fontId="50" fillId="63" borderId="238" xfId="0" applyFont="1" applyFill="1" applyBorder="1" applyAlignment="1">
      <alignment horizontal="right" vertical="center"/>
    </xf>
    <xf numFmtId="0" fontId="50" fillId="63" borderId="363" xfId="0" applyFont="1" applyFill="1" applyBorder="1" applyAlignment="1">
      <alignment horizontal="right" vertical="center"/>
    </xf>
    <xf numFmtId="0" fontId="50" fillId="63" borderId="377" xfId="0" applyFont="1" applyFill="1" applyBorder="1" applyAlignment="1">
      <alignment horizontal="right" vertical="center"/>
    </xf>
    <xf numFmtId="174" fontId="50" fillId="67" borderId="64" xfId="0" applyNumberFormat="1" applyFont="1" applyFill="1" applyBorder="1"/>
    <xf numFmtId="0" fontId="50" fillId="16" borderId="369" xfId="0" applyFont="1" applyFill="1" applyBorder="1" applyAlignment="1">
      <alignment vertical="center"/>
    </xf>
    <xf numFmtId="174" fontId="49" fillId="0" borderId="366" xfId="0" applyNumberFormat="1" applyFont="1" applyFill="1" applyBorder="1" applyAlignment="1">
      <alignment horizontal="right"/>
    </xf>
    <xf numFmtId="166" fontId="49" fillId="0" borderId="366" xfId="0" applyNumberFormat="1" applyFont="1" applyFill="1" applyBorder="1" applyAlignment="1">
      <alignment horizontal="center"/>
    </xf>
    <xf numFmtId="174" fontId="49" fillId="0" borderId="367" xfId="0" applyNumberFormat="1" applyFont="1" applyFill="1" applyBorder="1"/>
    <xf numFmtId="174" fontId="49" fillId="0" borderId="368" xfId="0" applyNumberFormat="1" applyFont="1" applyFill="1" applyBorder="1"/>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BDD7EE"/>
      <color rgb="FFDDEBF7"/>
      <color rgb="FFA9D08E"/>
      <color rgb="FFCCFFFF"/>
      <color rgb="FF8EA9DB"/>
      <color rgb="FFD9E1F2"/>
      <color rgb="FF4472C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0</xdr:colOff>
      <xdr:row>32</xdr:row>
      <xdr:rowOff>0</xdr:rowOff>
    </xdr:from>
    <xdr:to>
      <xdr:col>1</xdr:col>
      <xdr:colOff>12700</xdr:colOff>
      <xdr:row>32</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34</xdr:row>
      <xdr:rowOff>0</xdr:rowOff>
    </xdr:from>
    <xdr:to>
      <xdr:col>8</xdr:col>
      <xdr:colOff>50800</xdr:colOff>
      <xdr:row>34</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35</xdr:row>
      <xdr:rowOff>0</xdr:rowOff>
    </xdr:from>
    <xdr:to>
      <xdr:col>1</xdr:col>
      <xdr:colOff>12700</xdr:colOff>
      <xdr:row>35</xdr:row>
      <xdr:rowOff>203200</xdr:rowOff>
    </xdr:to>
    <xdr:sp macro="" textlink="">
      <xdr:nvSpPr>
        <xdr:cNvPr id="2" name="Text 13"/>
        <xdr:cNvSpPr txBox="1">
          <a:spLocks noChangeArrowheads="1"/>
        </xdr:cNvSpPr>
      </xdr:nvSpPr>
      <xdr:spPr bwMode="auto">
        <a:xfrm>
          <a:off x="200025" y="908685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37</xdr:row>
      <xdr:rowOff>0</xdr:rowOff>
    </xdr:from>
    <xdr:to>
      <xdr:col>8</xdr:col>
      <xdr:colOff>50800</xdr:colOff>
      <xdr:row>37</xdr:row>
      <xdr:rowOff>203200</xdr:rowOff>
    </xdr:to>
    <xdr:sp macro="" textlink="">
      <xdr:nvSpPr>
        <xdr:cNvPr id="3" name="Text 14"/>
        <xdr:cNvSpPr txBox="1">
          <a:spLocks noChangeArrowheads="1"/>
        </xdr:cNvSpPr>
      </xdr:nvSpPr>
      <xdr:spPr bwMode="auto">
        <a:xfrm>
          <a:off x="8007350" y="948690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45</xdr:row>
      <xdr:rowOff>0</xdr:rowOff>
    </xdr:from>
    <xdr:to>
      <xdr:col>1</xdr:col>
      <xdr:colOff>12700</xdr:colOff>
      <xdr:row>45</xdr:row>
      <xdr:rowOff>203200</xdr:rowOff>
    </xdr:to>
    <xdr:sp macro="" textlink="">
      <xdr:nvSpPr>
        <xdr:cNvPr id="2" name="Text 13"/>
        <xdr:cNvSpPr txBox="1">
          <a:spLocks noChangeArrowheads="1"/>
        </xdr:cNvSpPr>
      </xdr:nvSpPr>
      <xdr:spPr bwMode="auto">
        <a:xfrm>
          <a:off x="200025" y="10086975"/>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47</xdr:row>
      <xdr:rowOff>0</xdr:rowOff>
    </xdr:from>
    <xdr:to>
      <xdr:col>8</xdr:col>
      <xdr:colOff>50800</xdr:colOff>
      <xdr:row>47</xdr:row>
      <xdr:rowOff>203200</xdr:rowOff>
    </xdr:to>
    <xdr:sp macro="" textlink="">
      <xdr:nvSpPr>
        <xdr:cNvPr id="3" name="Text 14"/>
        <xdr:cNvSpPr txBox="1">
          <a:spLocks noChangeArrowheads="1"/>
        </xdr:cNvSpPr>
      </xdr:nvSpPr>
      <xdr:spPr bwMode="auto">
        <a:xfrm>
          <a:off x="8007350" y="10487025"/>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57</xdr:row>
      <xdr:rowOff>0</xdr:rowOff>
    </xdr:from>
    <xdr:to>
      <xdr:col>1</xdr:col>
      <xdr:colOff>12700</xdr:colOff>
      <xdr:row>57</xdr:row>
      <xdr:rowOff>203200</xdr:rowOff>
    </xdr:to>
    <xdr:sp macro="" textlink="">
      <xdr:nvSpPr>
        <xdr:cNvPr id="2" name="Text 13"/>
        <xdr:cNvSpPr txBox="1">
          <a:spLocks noChangeArrowheads="1"/>
        </xdr:cNvSpPr>
      </xdr:nvSpPr>
      <xdr:spPr bwMode="auto">
        <a:xfrm>
          <a:off x="200025" y="118872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59</xdr:row>
      <xdr:rowOff>0</xdr:rowOff>
    </xdr:from>
    <xdr:to>
      <xdr:col>8</xdr:col>
      <xdr:colOff>0</xdr:colOff>
      <xdr:row>59</xdr:row>
      <xdr:rowOff>203200</xdr:rowOff>
    </xdr:to>
    <xdr:sp macro="" textlink="">
      <xdr:nvSpPr>
        <xdr:cNvPr id="3" name="Text 14"/>
        <xdr:cNvSpPr txBox="1">
          <a:spLocks noChangeArrowheads="1"/>
        </xdr:cNvSpPr>
      </xdr:nvSpPr>
      <xdr:spPr bwMode="auto">
        <a:xfrm>
          <a:off x="8007350" y="122872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J38"/>
  <sheetViews>
    <sheetView showGridLines="0" tabSelected="1" view="pageBreakPreview" zoomScale="90" zoomScaleNormal="90" zoomScaleSheetLayoutView="90" workbookViewId="0">
      <selection activeCell="B5" sqref="B5"/>
    </sheetView>
  </sheetViews>
  <sheetFormatPr defaultColWidth="9.140625" defaultRowHeight="12.75" x14ac:dyDescent="0.2"/>
  <cols>
    <col min="1" max="1" width="33.42578125" style="53" customWidth="1"/>
    <col min="2" max="2" width="98.5703125" style="76" customWidth="1"/>
    <col min="3" max="9" width="9.140625" style="76"/>
    <col min="10" max="10" width="15.85546875" style="76" customWidth="1"/>
    <col min="11" max="16384" width="9.140625" style="76"/>
  </cols>
  <sheetData>
    <row r="1" spans="1:2" ht="12.75" customHeight="1" x14ac:dyDescent="0.2">
      <c r="A1" s="785" t="s">
        <v>145</v>
      </c>
      <c r="B1" s="786"/>
    </row>
    <row r="2" spans="1:2" ht="13.5" thickBot="1" x14ac:dyDescent="0.25">
      <c r="A2" s="787"/>
      <c r="B2" s="788"/>
    </row>
    <row r="3" spans="1:2" ht="121.5" x14ac:dyDescent="0.2">
      <c r="A3" s="789" t="s">
        <v>142</v>
      </c>
      <c r="B3" s="84" t="s">
        <v>212</v>
      </c>
    </row>
    <row r="4" spans="1:2" ht="30" x14ac:dyDescent="0.2">
      <c r="A4" s="790"/>
      <c r="B4" s="84" t="s">
        <v>183</v>
      </c>
    </row>
    <row r="5" spans="1:2" ht="61.5" x14ac:dyDescent="0.2">
      <c r="A5" s="790"/>
      <c r="B5" s="84" t="s">
        <v>511</v>
      </c>
    </row>
    <row r="6" spans="1:2" ht="45" x14ac:dyDescent="0.2">
      <c r="A6" s="790"/>
      <c r="B6" s="84" t="s">
        <v>184</v>
      </c>
    </row>
    <row r="7" spans="1:2" ht="15.75" customHeight="1" x14ac:dyDescent="0.2">
      <c r="A7" s="791" t="s">
        <v>195</v>
      </c>
      <c r="B7" s="792" t="s">
        <v>313</v>
      </c>
    </row>
    <row r="8" spans="1:2" ht="45" customHeight="1" x14ac:dyDescent="0.2">
      <c r="A8" s="789"/>
      <c r="B8" s="792"/>
    </row>
    <row r="9" spans="1:2" ht="31.5" x14ac:dyDescent="0.2">
      <c r="A9" s="435" t="s">
        <v>196</v>
      </c>
      <c r="B9" s="86" t="s">
        <v>197</v>
      </c>
    </row>
    <row r="10" spans="1:2" ht="45" x14ac:dyDescent="0.2">
      <c r="A10" s="435" t="s">
        <v>198</v>
      </c>
      <c r="B10" s="86" t="s">
        <v>199</v>
      </c>
    </row>
    <row r="11" spans="1:2" ht="165.75" x14ac:dyDescent="0.2">
      <c r="A11" s="435" t="s">
        <v>200</v>
      </c>
      <c r="B11" s="86" t="s">
        <v>201</v>
      </c>
    </row>
    <row r="12" spans="1:2" ht="45" x14ac:dyDescent="0.2">
      <c r="A12" s="435" t="s">
        <v>189</v>
      </c>
      <c r="B12" s="86" t="s">
        <v>190</v>
      </c>
    </row>
    <row r="13" spans="1:2" ht="38.25" customHeight="1" x14ac:dyDescent="0.2">
      <c r="A13" s="793" t="s">
        <v>2</v>
      </c>
      <c r="B13" s="794" t="s">
        <v>202</v>
      </c>
    </row>
    <row r="14" spans="1:2" ht="45.75" customHeight="1" x14ac:dyDescent="0.2">
      <c r="A14" s="793"/>
      <c r="B14" s="795"/>
    </row>
    <row r="15" spans="1:2" ht="31.5" x14ac:dyDescent="0.2">
      <c r="A15" s="87" t="s">
        <v>209</v>
      </c>
      <c r="B15" s="88" t="s">
        <v>203</v>
      </c>
    </row>
    <row r="16" spans="1:2" ht="45" x14ac:dyDescent="0.2">
      <c r="A16" s="89" t="s">
        <v>185</v>
      </c>
      <c r="B16" s="90" t="s">
        <v>186</v>
      </c>
    </row>
    <row r="17" spans="1:10" ht="90.75" x14ac:dyDescent="0.2">
      <c r="A17" s="91" t="s">
        <v>137</v>
      </c>
      <c r="B17" s="92" t="s">
        <v>204</v>
      </c>
    </row>
    <row r="18" spans="1:10" ht="60.75" x14ac:dyDescent="0.2">
      <c r="A18" s="85" t="s">
        <v>187</v>
      </c>
      <c r="B18" s="93" t="s">
        <v>205</v>
      </c>
      <c r="C18" s="52"/>
      <c r="D18" s="52"/>
      <c r="E18" s="52"/>
      <c r="F18" s="52"/>
      <c r="G18" s="52"/>
      <c r="H18" s="52"/>
      <c r="I18" s="77"/>
      <c r="J18" s="77"/>
    </row>
    <row r="19" spans="1:10" ht="30" x14ac:dyDescent="0.2">
      <c r="A19" s="435" t="s">
        <v>136</v>
      </c>
      <c r="B19" s="94" t="s">
        <v>206</v>
      </c>
    </row>
    <row r="20" spans="1:10" ht="90.75" x14ac:dyDescent="0.2">
      <c r="A20" s="435" t="s">
        <v>125</v>
      </c>
      <c r="B20" s="95" t="s">
        <v>210</v>
      </c>
    </row>
    <row r="21" spans="1:10" ht="150" x14ac:dyDescent="0.2">
      <c r="A21" s="436" t="s">
        <v>138</v>
      </c>
      <c r="B21" s="96" t="s">
        <v>207</v>
      </c>
    </row>
    <row r="22" spans="1:10" ht="135" x14ac:dyDescent="0.2">
      <c r="A22" s="437" t="s">
        <v>139</v>
      </c>
      <c r="B22" s="97" t="s">
        <v>141</v>
      </c>
    </row>
    <row r="23" spans="1:10" ht="150" x14ac:dyDescent="0.2">
      <c r="A23" s="437" t="s">
        <v>144</v>
      </c>
      <c r="B23" s="97" t="s">
        <v>143</v>
      </c>
    </row>
    <row r="24" spans="1:10" ht="47.25" x14ac:dyDescent="0.2">
      <c r="A24" s="436" t="s">
        <v>208</v>
      </c>
      <c r="B24" s="98" t="s">
        <v>211</v>
      </c>
    </row>
    <row r="25" spans="1:10" x14ac:dyDescent="0.2">
      <c r="A25" s="777" t="s">
        <v>188</v>
      </c>
      <c r="B25" s="778"/>
    </row>
    <row r="26" spans="1:10" x14ac:dyDescent="0.2">
      <c r="A26" s="779"/>
      <c r="B26" s="780"/>
    </row>
    <row r="27" spans="1:10" x14ac:dyDescent="0.2">
      <c r="A27" s="781" t="s">
        <v>318</v>
      </c>
      <c r="B27" s="782"/>
    </row>
    <row r="28" spans="1:10" x14ac:dyDescent="0.2">
      <c r="A28" s="781"/>
      <c r="B28" s="782"/>
    </row>
    <row r="29" spans="1:10" x14ac:dyDescent="0.2">
      <c r="A29" s="781"/>
      <c r="B29" s="782"/>
    </row>
    <row r="30" spans="1:10" x14ac:dyDescent="0.2">
      <c r="A30" s="781"/>
      <c r="B30" s="782"/>
    </row>
    <row r="31" spans="1:10" x14ac:dyDescent="0.2">
      <c r="A31" s="781"/>
      <c r="B31" s="782"/>
    </row>
    <row r="32" spans="1:10" x14ac:dyDescent="0.2">
      <c r="A32" s="781"/>
      <c r="B32" s="782"/>
    </row>
    <row r="33" spans="1:2" x14ac:dyDescent="0.2">
      <c r="A33" s="781"/>
      <c r="B33" s="782"/>
    </row>
    <row r="34" spans="1:2" x14ac:dyDescent="0.2">
      <c r="A34" s="781"/>
      <c r="B34" s="782"/>
    </row>
    <row r="35" spans="1:2" x14ac:dyDescent="0.2">
      <c r="A35" s="781"/>
      <c r="B35" s="782"/>
    </row>
    <row r="36" spans="1:2" x14ac:dyDescent="0.2">
      <c r="A36" s="781"/>
      <c r="B36" s="782"/>
    </row>
    <row r="37" spans="1:2" x14ac:dyDescent="0.2">
      <c r="A37" s="781"/>
      <c r="B37" s="782"/>
    </row>
    <row r="38" spans="1:2" ht="13.5" thickBot="1" x14ac:dyDescent="0.25">
      <c r="A38" s="783"/>
      <c r="B38" s="784"/>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MODELO LICITANTE</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45"/>
  <sheetViews>
    <sheetView view="pageBreakPreview" topLeftCell="A124" zoomScale="110" zoomScaleNormal="110" zoomScaleSheetLayoutView="110" workbookViewId="0">
      <selection activeCell="K133" sqref="K133"/>
    </sheetView>
  </sheetViews>
  <sheetFormatPr defaultRowHeight="12.75" x14ac:dyDescent="0.2"/>
  <cols>
    <col min="1" max="1" width="52.7109375" style="49" customWidth="1"/>
    <col min="2" max="3" width="12.7109375" style="49" customWidth="1"/>
    <col min="4" max="4" width="8.42578125" style="49" bestFit="1" customWidth="1"/>
    <col min="5" max="5" width="10.7109375" style="49" customWidth="1"/>
    <col min="6" max="6" width="8.42578125" style="49" customWidth="1"/>
    <col min="7" max="7" width="10.7109375" style="49" customWidth="1"/>
    <col min="8" max="8" width="8.42578125" style="49" bestFit="1" customWidth="1"/>
    <col min="9" max="9" width="11.5703125" style="49" bestFit="1" customWidth="1"/>
    <col min="10" max="10" width="8.42578125" style="49" bestFit="1" customWidth="1"/>
    <col min="11" max="11" width="11.5703125" style="49" customWidth="1"/>
    <col min="12" max="256" width="9.140625" style="49"/>
    <col min="257" max="257" width="13.5703125" style="49" customWidth="1"/>
    <col min="258" max="258" width="12.85546875" style="49" customWidth="1"/>
    <col min="259" max="259" width="15" style="49" customWidth="1"/>
    <col min="260" max="261" width="13.42578125" style="49" customWidth="1"/>
    <col min="262" max="512" width="9.140625" style="49"/>
    <col min="513" max="513" width="13.5703125" style="49" customWidth="1"/>
    <col min="514" max="514" width="12.85546875" style="49" customWidth="1"/>
    <col min="515" max="515" width="15" style="49" customWidth="1"/>
    <col min="516" max="517" width="13.42578125" style="49" customWidth="1"/>
    <col min="518" max="768" width="9.140625" style="49"/>
    <col min="769" max="769" width="13.5703125" style="49" customWidth="1"/>
    <col min="770" max="770" width="12.85546875" style="49" customWidth="1"/>
    <col min="771" max="771" width="15" style="49" customWidth="1"/>
    <col min="772" max="773" width="13.42578125" style="49" customWidth="1"/>
    <col min="774" max="1024" width="9.140625" style="49"/>
    <col min="1025" max="1025" width="13.5703125" style="49" customWidth="1"/>
    <col min="1026" max="1026" width="12.85546875" style="49" customWidth="1"/>
    <col min="1027" max="1027" width="15" style="49" customWidth="1"/>
    <col min="1028" max="1029" width="13.42578125" style="49" customWidth="1"/>
    <col min="1030" max="1280" width="9.140625" style="49"/>
    <col min="1281" max="1281" width="13.5703125" style="49" customWidth="1"/>
    <col min="1282" max="1282" width="12.85546875" style="49" customWidth="1"/>
    <col min="1283" max="1283" width="15" style="49" customWidth="1"/>
    <col min="1284" max="1285" width="13.42578125" style="49" customWidth="1"/>
    <col min="1286" max="1536" width="9.140625" style="49"/>
    <col min="1537" max="1537" width="13.5703125" style="49" customWidth="1"/>
    <col min="1538" max="1538" width="12.85546875" style="49" customWidth="1"/>
    <col min="1539" max="1539" width="15" style="49" customWidth="1"/>
    <col min="1540" max="1541" width="13.42578125" style="49" customWidth="1"/>
    <col min="1542" max="1792" width="9.140625" style="49"/>
    <col min="1793" max="1793" width="13.5703125" style="49" customWidth="1"/>
    <col min="1794" max="1794" width="12.85546875" style="49" customWidth="1"/>
    <col min="1795" max="1795" width="15" style="49" customWidth="1"/>
    <col min="1796" max="1797" width="13.42578125" style="49" customWidth="1"/>
    <col min="1798" max="2048" width="9.140625" style="49"/>
    <col min="2049" max="2049" width="13.5703125" style="49" customWidth="1"/>
    <col min="2050" max="2050" width="12.85546875" style="49" customWidth="1"/>
    <col min="2051" max="2051" width="15" style="49" customWidth="1"/>
    <col min="2052" max="2053" width="13.42578125" style="49" customWidth="1"/>
    <col min="2054" max="2304" width="9.140625" style="49"/>
    <col min="2305" max="2305" width="13.5703125" style="49" customWidth="1"/>
    <col min="2306" max="2306" width="12.85546875" style="49" customWidth="1"/>
    <col min="2307" max="2307" width="15" style="49" customWidth="1"/>
    <col min="2308" max="2309" width="13.42578125" style="49" customWidth="1"/>
    <col min="2310" max="2560" width="9.140625" style="49"/>
    <col min="2561" max="2561" width="13.5703125" style="49" customWidth="1"/>
    <col min="2562" max="2562" width="12.85546875" style="49" customWidth="1"/>
    <col min="2563" max="2563" width="15" style="49" customWidth="1"/>
    <col min="2564" max="2565" width="13.42578125" style="49" customWidth="1"/>
    <col min="2566" max="2816" width="9.140625" style="49"/>
    <col min="2817" max="2817" width="13.5703125" style="49" customWidth="1"/>
    <col min="2818" max="2818" width="12.85546875" style="49" customWidth="1"/>
    <col min="2819" max="2819" width="15" style="49" customWidth="1"/>
    <col min="2820" max="2821" width="13.42578125" style="49" customWidth="1"/>
    <col min="2822" max="3072" width="9.140625" style="49"/>
    <col min="3073" max="3073" width="13.5703125" style="49" customWidth="1"/>
    <col min="3074" max="3074" width="12.85546875" style="49" customWidth="1"/>
    <col min="3075" max="3075" width="15" style="49" customWidth="1"/>
    <col min="3076" max="3077" width="13.42578125" style="49" customWidth="1"/>
    <col min="3078" max="3328" width="9.140625" style="49"/>
    <col min="3329" max="3329" width="13.5703125" style="49" customWidth="1"/>
    <col min="3330" max="3330" width="12.85546875" style="49" customWidth="1"/>
    <col min="3331" max="3331" width="15" style="49" customWidth="1"/>
    <col min="3332" max="3333" width="13.42578125" style="49" customWidth="1"/>
    <col min="3334" max="3584" width="9.140625" style="49"/>
    <col min="3585" max="3585" width="13.5703125" style="49" customWidth="1"/>
    <col min="3586" max="3586" width="12.85546875" style="49" customWidth="1"/>
    <col min="3587" max="3587" width="15" style="49" customWidth="1"/>
    <col min="3588" max="3589" width="13.42578125" style="49" customWidth="1"/>
    <col min="3590" max="3840" width="9.140625" style="49"/>
    <col min="3841" max="3841" width="13.5703125" style="49" customWidth="1"/>
    <col min="3842" max="3842" width="12.85546875" style="49" customWidth="1"/>
    <col min="3843" max="3843" width="15" style="49" customWidth="1"/>
    <col min="3844" max="3845" width="13.42578125" style="49" customWidth="1"/>
    <col min="3846" max="4096" width="9.140625" style="49"/>
    <col min="4097" max="4097" width="13.5703125" style="49" customWidth="1"/>
    <col min="4098" max="4098" width="12.85546875" style="49" customWidth="1"/>
    <col min="4099" max="4099" width="15" style="49" customWidth="1"/>
    <col min="4100" max="4101" width="13.42578125" style="49" customWidth="1"/>
    <col min="4102" max="4352" width="9.140625" style="49"/>
    <col min="4353" max="4353" width="13.5703125" style="49" customWidth="1"/>
    <col min="4354" max="4354" width="12.85546875" style="49" customWidth="1"/>
    <col min="4355" max="4355" width="15" style="49" customWidth="1"/>
    <col min="4356" max="4357" width="13.42578125" style="49" customWidth="1"/>
    <col min="4358" max="4608" width="9.140625" style="49"/>
    <col min="4609" max="4609" width="13.5703125" style="49" customWidth="1"/>
    <col min="4610" max="4610" width="12.85546875" style="49" customWidth="1"/>
    <col min="4611" max="4611" width="15" style="49" customWidth="1"/>
    <col min="4612" max="4613" width="13.42578125" style="49" customWidth="1"/>
    <col min="4614" max="4864" width="9.140625" style="49"/>
    <col min="4865" max="4865" width="13.5703125" style="49" customWidth="1"/>
    <col min="4866" max="4866" width="12.85546875" style="49" customWidth="1"/>
    <col min="4867" max="4867" width="15" style="49" customWidth="1"/>
    <col min="4868" max="4869" width="13.42578125" style="49" customWidth="1"/>
    <col min="4870" max="5120" width="9.140625" style="49"/>
    <col min="5121" max="5121" width="13.5703125" style="49" customWidth="1"/>
    <col min="5122" max="5122" width="12.85546875" style="49" customWidth="1"/>
    <col min="5123" max="5123" width="15" style="49" customWidth="1"/>
    <col min="5124" max="5125" width="13.42578125" style="49" customWidth="1"/>
    <col min="5126" max="5376" width="9.140625" style="49"/>
    <col min="5377" max="5377" width="13.5703125" style="49" customWidth="1"/>
    <col min="5378" max="5378" width="12.85546875" style="49" customWidth="1"/>
    <col min="5379" max="5379" width="15" style="49" customWidth="1"/>
    <col min="5380" max="5381" width="13.42578125" style="49" customWidth="1"/>
    <col min="5382" max="5632" width="9.140625" style="49"/>
    <col min="5633" max="5633" width="13.5703125" style="49" customWidth="1"/>
    <col min="5634" max="5634" width="12.85546875" style="49" customWidth="1"/>
    <col min="5635" max="5635" width="15" style="49" customWidth="1"/>
    <col min="5636" max="5637" width="13.42578125" style="49" customWidth="1"/>
    <col min="5638" max="5888" width="9.140625" style="49"/>
    <col min="5889" max="5889" width="13.5703125" style="49" customWidth="1"/>
    <col min="5890" max="5890" width="12.85546875" style="49" customWidth="1"/>
    <col min="5891" max="5891" width="15" style="49" customWidth="1"/>
    <col min="5892" max="5893" width="13.42578125" style="49" customWidth="1"/>
    <col min="5894" max="6144" width="9.140625" style="49"/>
    <col min="6145" max="6145" width="13.5703125" style="49" customWidth="1"/>
    <col min="6146" max="6146" width="12.85546875" style="49" customWidth="1"/>
    <col min="6147" max="6147" width="15" style="49" customWidth="1"/>
    <col min="6148" max="6149" width="13.42578125" style="49" customWidth="1"/>
    <col min="6150" max="6400" width="9.140625" style="49"/>
    <col min="6401" max="6401" width="13.5703125" style="49" customWidth="1"/>
    <col min="6402" max="6402" width="12.85546875" style="49" customWidth="1"/>
    <col min="6403" max="6403" width="15" style="49" customWidth="1"/>
    <col min="6404" max="6405" width="13.42578125" style="49" customWidth="1"/>
    <col min="6406" max="6656" width="9.140625" style="49"/>
    <col min="6657" max="6657" width="13.5703125" style="49" customWidth="1"/>
    <col min="6658" max="6658" width="12.85546875" style="49" customWidth="1"/>
    <col min="6659" max="6659" width="15" style="49" customWidth="1"/>
    <col min="6660" max="6661" width="13.42578125" style="49" customWidth="1"/>
    <col min="6662" max="6912" width="9.140625" style="49"/>
    <col min="6913" max="6913" width="13.5703125" style="49" customWidth="1"/>
    <col min="6914" max="6914" width="12.85546875" style="49" customWidth="1"/>
    <col min="6915" max="6915" width="15" style="49" customWidth="1"/>
    <col min="6916" max="6917" width="13.42578125" style="49" customWidth="1"/>
    <col min="6918" max="7168" width="9.140625" style="49"/>
    <col min="7169" max="7169" width="13.5703125" style="49" customWidth="1"/>
    <col min="7170" max="7170" width="12.85546875" style="49" customWidth="1"/>
    <col min="7171" max="7171" width="15" style="49" customWidth="1"/>
    <col min="7172" max="7173" width="13.42578125" style="49" customWidth="1"/>
    <col min="7174" max="7424" width="9.140625" style="49"/>
    <col min="7425" max="7425" width="13.5703125" style="49" customWidth="1"/>
    <col min="7426" max="7426" width="12.85546875" style="49" customWidth="1"/>
    <col min="7427" max="7427" width="15" style="49" customWidth="1"/>
    <col min="7428" max="7429" width="13.42578125" style="49" customWidth="1"/>
    <col min="7430" max="7680" width="9.140625" style="49"/>
    <col min="7681" max="7681" width="13.5703125" style="49" customWidth="1"/>
    <col min="7682" max="7682" width="12.85546875" style="49" customWidth="1"/>
    <col min="7683" max="7683" width="15" style="49" customWidth="1"/>
    <col min="7684" max="7685" width="13.42578125" style="49" customWidth="1"/>
    <col min="7686" max="7936" width="9.140625" style="49"/>
    <col min="7937" max="7937" width="13.5703125" style="49" customWidth="1"/>
    <col min="7938" max="7938" width="12.85546875" style="49" customWidth="1"/>
    <col min="7939" max="7939" width="15" style="49" customWidth="1"/>
    <col min="7940" max="7941" width="13.42578125" style="49" customWidth="1"/>
    <col min="7942" max="8192" width="9.140625" style="49"/>
    <col min="8193" max="8193" width="13.5703125" style="49" customWidth="1"/>
    <col min="8194" max="8194" width="12.85546875" style="49" customWidth="1"/>
    <col min="8195" max="8195" width="15" style="49" customWidth="1"/>
    <col min="8196" max="8197" width="13.42578125" style="49" customWidth="1"/>
    <col min="8198" max="8448" width="9.140625" style="49"/>
    <col min="8449" max="8449" width="13.5703125" style="49" customWidth="1"/>
    <col min="8450" max="8450" width="12.85546875" style="49" customWidth="1"/>
    <col min="8451" max="8451" width="15" style="49" customWidth="1"/>
    <col min="8452" max="8453" width="13.42578125" style="49" customWidth="1"/>
    <col min="8454" max="8704" width="9.140625" style="49"/>
    <col min="8705" max="8705" width="13.5703125" style="49" customWidth="1"/>
    <col min="8706" max="8706" width="12.85546875" style="49" customWidth="1"/>
    <col min="8707" max="8707" width="15" style="49" customWidth="1"/>
    <col min="8708" max="8709" width="13.42578125" style="49" customWidth="1"/>
    <col min="8710" max="8960" width="9.140625" style="49"/>
    <col min="8961" max="8961" width="13.5703125" style="49" customWidth="1"/>
    <col min="8962" max="8962" width="12.85546875" style="49" customWidth="1"/>
    <col min="8963" max="8963" width="15" style="49" customWidth="1"/>
    <col min="8964" max="8965" width="13.42578125" style="49" customWidth="1"/>
    <col min="8966" max="9216" width="9.140625" style="49"/>
    <col min="9217" max="9217" width="13.5703125" style="49" customWidth="1"/>
    <col min="9218" max="9218" width="12.85546875" style="49" customWidth="1"/>
    <col min="9219" max="9219" width="15" style="49" customWidth="1"/>
    <col min="9220" max="9221" width="13.42578125" style="49" customWidth="1"/>
    <col min="9222" max="9472" width="9.140625" style="49"/>
    <col min="9473" max="9473" width="13.5703125" style="49" customWidth="1"/>
    <col min="9474" max="9474" width="12.85546875" style="49" customWidth="1"/>
    <col min="9475" max="9475" width="15" style="49" customWidth="1"/>
    <col min="9476" max="9477" width="13.42578125" style="49" customWidth="1"/>
    <col min="9478" max="9728" width="9.140625" style="49"/>
    <col min="9729" max="9729" width="13.5703125" style="49" customWidth="1"/>
    <col min="9730" max="9730" width="12.85546875" style="49" customWidth="1"/>
    <col min="9731" max="9731" width="15" style="49" customWidth="1"/>
    <col min="9732" max="9733" width="13.42578125" style="49" customWidth="1"/>
    <col min="9734" max="9984" width="9.140625" style="49"/>
    <col min="9985" max="9985" width="13.5703125" style="49" customWidth="1"/>
    <col min="9986" max="9986" width="12.85546875" style="49" customWidth="1"/>
    <col min="9987" max="9987" width="15" style="49" customWidth="1"/>
    <col min="9988" max="9989" width="13.42578125" style="49" customWidth="1"/>
    <col min="9990" max="10240" width="9.140625" style="49"/>
    <col min="10241" max="10241" width="13.5703125" style="49" customWidth="1"/>
    <col min="10242" max="10242" width="12.85546875" style="49" customWidth="1"/>
    <col min="10243" max="10243" width="15" style="49" customWidth="1"/>
    <col min="10244" max="10245" width="13.42578125" style="49" customWidth="1"/>
    <col min="10246" max="10496" width="9.140625" style="49"/>
    <col min="10497" max="10497" width="13.5703125" style="49" customWidth="1"/>
    <col min="10498" max="10498" width="12.85546875" style="49" customWidth="1"/>
    <col min="10499" max="10499" width="15" style="49" customWidth="1"/>
    <col min="10500" max="10501" width="13.42578125" style="49" customWidth="1"/>
    <col min="10502" max="10752" width="9.140625" style="49"/>
    <col min="10753" max="10753" width="13.5703125" style="49" customWidth="1"/>
    <col min="10754" max="10754" width="12.85546875" style="49" customWidth="1"/>
    <col min="10755" max="10755" width="15" style="49" customWidth="1"/>
    <col min="10756" max="10757" width="13.42578125" style="49" customWidth="1"/>
    <col min="10758" max="11008" width="9.140625" style="49"/>
    <col min="11009" max="11009" width="13.5703125" style="49" customWidth="1"/>
    <col min="11010" max="11010" width="12.85546875" style="49" customWidth="1"/>
    <col min="11011" max="11011" width="15" style="49" customWidth="1"/>
    <col min="11012" max="11013" width="13.42578125" style="49" customWidth="1"/>
    <col min="11014" max="11264" width="9.140625" style="49"/>
    <col min="11265" max="11265" width="13.5703125" style="49" customWidth="1"/>
    <col min="11266" max="11266" width="12.85546875" style="49" customWidth="1"/>
    <col min="11267" max="11267" width="15" style="49" customWidth="1"/>
    <col min="11268" max="11269" width="13.42578125" style="49" customWidth="1"/>
    <col min="11270" max="11520" width="9.140625" style="49"/>
    <col min="11521" max="11521" width="13.5703125" style="49" customWidth="1"/>
    <col min="11522" max="11522" width="12.85546875" style="49" customWidth="1"/>
    <col min="11523" max="11523" width="15" style="49" customWidth="1"/>
    <col min="11524" max="11525" width="13.42578125" style="49" customWidth="1"/>
    <col min="11526" max="11776" width="9.140625" style="49"/>
    <col min="11777" max="11777" width="13.5703125" style="49" customWidth="1"/>
    <col min="11778" max="11778" width="12.85546875" style="49" customWidth="1"/>
    <col min="11779" max="11779" width="15" style="49" customWidth="1"/>
    <col min="11780" max="11781" width="13.42578125" style="49" customWidth="1"/>
    <col min="11782" max="12032" width="9.140625" style="49"/>
    <col min="12033" max="12033" width="13.5703125" style="49" customWidth="1"/>
    <col min="12034" max="12034" width="12.85546875" style="49" customWidth="1"/>
    <col min="12035" max="12035" width="15" style="49" customWidth="1"/>
    <col min="12036" max="12037" width="13.42578125" style="49" customWidth="1"/>
    <col min="12038" max="12288" width="9.140625" style="49"/>
    <col min="12289" max="12289" width="13.5703125" style="49" customWidth="1"/>
    <col min="12290" max="12290" width="12.85546875" style="49" customWidth="1"/>
    <col min="12291" max="12291" width="15" style="49" customWidth="1"/>
    <col min="12292" max="12293" width="13.42578125" style="49" customWidth="1"/>
    <col min="12294" max="12544" width="9.140625" style="49"/>
    <col min="12545" max="12545" width="13.5703125" style="49" customWidth="1"/>
    <col min="12546" max="12546" width="12.85546875" style="49" customWidth="1"/>
    <col min="12547" max="12547" width="15" style="49" customWidth="1"/>
    <col min="12548" max="12549" width="13.42578125" style="49" customWidth="1"/>
    <col min="12550" max="12800" width="9.140625" style="49"/>
    <col min="12801" max="12801" width="13.5703125" style="49" customWidth="1"/>
    <col min="12802" max="12802" width="12.85546875" style="49" customWidth="1"/>
    <col min="12803" max="12803" width="15" style="49" customWidth="1"/>
    <col min="12804" max="12805" width="13.42578125" style="49" customWidth="1"/>
    <col min="12806" max="13056" width="9.140625" style="49"/>
    <col min="13057" max="13057" width="13.5703125" style="49" customWidth="1"/>
    <col min="13058" max="13058" width="12.85546875" style="49" customWidth="1"/>
    <col min="13059" max="13059" width="15" style="49" customWidth="1"/>
    <col min="13060" max="13061" width="13.42578125" style="49" customWidth="1"/>
    <col min="13062" max="13312" width="9.140625" style="49"/>
    <col min="13313" max="13313" width="13.5703125" style="49" customWidth="1"/>
    <col min="13314" max="13314" width="12.85546875" style="49" customWidth="1"/>
    <col min="13315" max="13315" width="15" style="49" customWidth="1"/>
    <col min="13316" max="13317" width="13.42578125" style="49" customWidth="1"/>
    <col min="13318" max="13568" width="9.140625" style="49"/>
    <col min="13569" max="13569" width="13.5703125" style="49" customWidth="1"/>
    <col min="13570" max="13570" width="12.85546875" style="49" customWidth="1"/>
    <col min="13571" max="13571" width="15" style="49" customWidth="1"/>
    <col min="13572" max="13573" width="13.42578125" style="49" customWidth="1"/>
    <col min="13574" max="13824" width="9.140625" style="49"/>
    <col min="13825" max="13825" width="13.5703125" style="49" customWidth="1"/>
    <col min="13826" max="13826" width="12.85546875" style="49" customWidth="1"/>
    <col min="13827" max="13827" width="15" style="49" customWidth="1"/>
    <col min="13828" max="13829" width="13.42578125" style="49" customWidth="1"/>
    <col min="13830" max="14080" width="9.140625" style="49"/>
    <col min="14081" max="14081" width="13.5703125" style="49" customWidth="1"/>
    <col min="14082" max="14082" width="12.85546875" style="49" customWidth="1"/>
    <col min="14083" max="14083" width="15" style="49" customWidth="1"/>
    <col min="14084" max="14085" width="13.42578125" style="49" customWidth="1"/>
    <col min="14086" max="14336" width="9.140625" style="49"/>
    <col min="14337" max="14337" width="13.5703125" style="49" customWidth="1"/>
    <col min="14338" max="14338" width="12.85546875" style="49" customWidth="1"/>
    <col min="14339" max="14339" width="15" style="49" customWidth="1"/>
    <col min="14340" max="14341" width="13.42578125" style="49" customWidth="1"/>
    <col min="14342" max="14592" width="9.140625" style="49"/>
    <col min="14593" max="14593" width="13.5703125" style="49" customWidth="1"/>
    <col min="14594" max="14594" width="12.85546875" style="49" customWidth="1"/>
    <col min="14595" max="14595" width="15" style="49" customWidth="1"/>
    <col min="14596" max="14597" width="13.42578125" style="49" customWidth="1"/>
    <col min="14598" max="14848" width="9.140625" style="49"/>
    <col min="14849" max="14849" width="13.5703125" style="49" customWidth="1"/>
    <col min="14850" max="14850" width="12.85546875" style="49" customWidth="1"/>
    <col min="14851" max="14851" width="15" style="49" customWidth="1"/>
    <col min="14852" max="14853" width="13.42578125" style="49" customWidth="1"/>
    <col min="14854" max="15104" width="9.140625" style="49"/>
    <col min="15105" max="15105" width="13.5703125" style="49" customWidth="1"/>
    <col min="15106" max="15106" width="12.85546875" style="49" customWidth="1"/>
    <col min="15107" max="15107" width="15" style="49" customWidth="1"/>
    <col min="15108" max="15109" width="13.42578125" style="49" customWidth="1"/>
    <col min="15110" max="15360" width="9.140625" style="49"/>
    <col min="15361" max="15361" width="13.5703125" style="49" customWidth="1"/>
    <col min="15362" max="15362" width="12.85546875" style="49" customWidth="1"/>
    <col min="15363" max="15363" width="15" style="49" customWidth="1"/>
    <col min="15364" max="15365" width="13.42578125" style="49" customWidth="1"/>
    <col min="15366" max="15616" width="9.140625" style="49"/>
    <col min="15617" max="15617" width="13.5703125" style="49" customWidth="1"/>
    <col min="15618" max="15618" width="12.85546875" style="49" customWidth="1"/>
    <col min="15619" max="15619" width="15" style="49" customWidth="1"/>
    <col min="15620" max="15621" width="13.42578125" style="49" customWidth="1"/>
    <col min="15622" max="15872" width="9.140625" style="49"/>
    <col min="15873" max="15873" width="13.5703125" style="49" customWidth="1"/>
    <col min="15874" max="15874" width="12.85546875" style="49" customWidth="1"/>
    <col min="15875" max="15875" width="15" style="49" customWidth="1"/>
    <col min="15876" max="15877" width="13.42578125" style="49" customWidth="1"/>
    <col min="15878" max="16128" width="9.140625" style="49"/>
    <col min="16129" max="16129" width="13.5703125" style="49" customWidth="1"/>
    <col min="16130" max="16130" width="12.85546875" style="49" customWidth="1"/>
    <col min="16131" max="16131" width="15" style="49" customWidth="1"/>
    <col min="16132" max="16133" width="13.42578125" style="49" customWidth="1"/>
    <col min="16134" max="16384" width="9.140625" style="49"/>
  </cols>
  <sheetData>
    <row r="1" spans="1:11" ht="16.5" x14ac:dyDescent="0.2">
      <c r="A1" s="824" t="s">
        <v>510</v>
      </c>
      <c r="B1" s="825"/>
      <c r="C1" s="825"/>
      <c r="D1" s="826"/>
      <c r="E1" s="826"/>
      <c r="F1" s="827"/>
      <c r="G1" s="827"/>
      <c r="H1" s="826"/>
      <c r="I1" s="826"/>
      <c r="J1" s="825"/>
      <c r="K1" s="828"/>
    </row>
    <row r="2" spans="1:11" s="50" customFormat="1" ht="16.5" x14ac:dyDescent="0.2">
      <c r="A2" s="829" t="s">
        <v>219</v>
      </c>
      <c r="B2" s="830"/>
      <c r="C2" s="830"/>
      <c r="D2" s="830"/>
      <c r="E2" s="830"/>
      <c r="F2" s="830"/>
      <c r="G2" s="830"/>
      <c r="H2" s="830"/>
      <c r="I2" s="830"/>
      <c r="J2" s="830"/>
      <c r="K2" s="831"/>
    </row>
    <row r="3" spans="1:11" s="50" customFormat="1" ht="13.5" thickBot="1" x14ac:dyDescent="0.25">
      <c r="A3" s="832" t="s">
        <v>427</v>
      </c>
      <c r="B3" s="833"/>
      <c r="C3" s="833"/>
      <c r="D3" s="833"/>
      <c r="E3" s="833"/>
      <c r="F3" s="833"/>
      <c r="G3" s="833"/>
      <c r="H3" s="833"/>
      <c r="I3" s="833"/>
      <c r="J3" s="833"/>
      <c r="K3" s="834"/>
    </row>
    <row r="4" spans="1:11" s="133" customFormat="1" ht="12.75" customHeight="1" x14ac:dyDescent="0.2">
      <c r="A4" s="835" t="s">
        <v>314</v>
      </c>
      <c r="B4" s="837" t="s">
        <v>353</v>
      </c>
      <c r="C4" s="839" t="s">
        <v>132</v>
      </c>
      <c r="D4" s="804" t="s">
        <v>451</v>
      </c>
      <c r="E4" s="805"/>
      <c r="F4" s="841" t="s">
        <v>452</v>
      </c>
      <c r="G4" s="842"/>
      <c r="H4" s="804" t="s">
        <v>453</v>
      </c>
      <c r="I4" s="805"/>
      <c r="J4" s="806" t="s">
        <v>454</v>
      </c>
      <c r="K4" s="805"/>
    </row>
    <row r="5" spans="1:11" s="133" customFormat="1" ht="12.75" customHeight="1" thickBot="1" x14ac:dyDescent="0.25">
      <c r="A5" s="836"/>
      <c r="B5" s="838"/>
      <c r="C5" s="840"/>
      <c r="D5" s="213" t="s">
        <v>133</v>
      </c>
      <c r="E5" s="212" t="s">
        <v>390</v>
      </c>
      <c r="F5" s="213" t="s">
        <v>133</v>
      </c>
      <c r="G5" s="212" t="s">
        <v>390</v>
      </c>
      <c r="H5" s="213" t="s">
        <v>133</v>
      </c>
      <c r="I5" s="212" t="s">
        <v>390</v>
      </c>
      <c r="J5" s="217" t="s">
        <v>133</v>
      </c>
      <c r="K5" s="212" t="s">
        <v>390</v>
      </c>
    </row>
    <row r="6" spans="1:11" x14ac:dyDescent="0.2">
      <c r="A6" s="215" t="s">
        <v>256</v>
      </c>
      <c r="B6" s="216">
        <v>6</v>
      </c>
      <c r="C6" s="227">
        <v>0</v>
      </c>
      <c r="D6" s="228">
        <v>4</v>
      </c>
      <c r="E6" s="229">
        <f>ROUND((C6*D6)/B6,2)</f>
        <v>0</v>
      </c>
      <c r="F6" s="454">
        <v>2</v>
      </c>
      <c r="G6" s="446">
        <f>ROUND((C6*F6)/B6,2)</f>
        <v>0</v>
      </c>
      <c r="H6" s="1526">
        <v>4</v>
      </c>
      <c r="I6" s="229">
        <f>ROUND((C6*H6)/B6,2)</f>
        <v>0</v>
      </c>
      <c r="J6" s="230">
        <v>5</v>
      </c>
      <c r="K6" s="460">
        <f>ROUND((C6*J6)/B6,2)</f>
        <v>0</v>
      </c>
    </row>
    <row r="7" spans="1:11" x14ac:dyDescent="0.2">
      <c r="A7" s="214" t="s">
        <v>257</v>
      </c>
      <c r="B7" s="218">
        <v>12</v>
      </c>
      <c r="C7" s="223">
        <v>0</v>
      </c>
      <c r="D7" s="224">
        <v>1</v>
      </c>
      <c r="E7" s="225">
        <f>ROUND((C7*D7)/B7,2)</f>
        <v>0</v>
      </c>
      <c r="F7" s="455">
        <v>1</v>
      </c>
      <c r="G7" s="445">
        <f>ROUND((C7*F7)/B7,2)</f>
        <v>0</v>
      </c>
      <c r="H7" s="1526">
        <v>1</v>
      </c>
      <c r="I7" s="225">
        <f>ROUND((C7*H7)/B7,2)</f>
        <v>0</v>
      </c>
      <c r="J7" s="226">
        <v>1</v>
      </c>
      <c r="K7" s="461">
        <f>ROUND((C7*J7)/B7,2)</f>
        <v>0</v>
      </c>
    </row>
    <row r="8" spans="1:11" s="1525" customFormat="1" ht="25.5" x14ac:dyDescent="0.2">
      <c r="A8" s="222" t="s">
        <v>319</v>
      </c>
      <c r="B8" s="1517">
        <v>6</v>
      </c>
      <c r="C8" s="1518">
        <v>0</v>
      </c>
      <c r="D8" s="1519">
        <v>3</v>
      </c>
      <c r="E8" s="1520">
        <f t="shared" ref="E8:E68" si="0">ROUND((C8*D8)/B8,2)</f>
        <v>0</v>
      </c>
      <c r="F8" s="1521">
        <v>6</v>
      </c>
      <c r="G8" s="1522">
        <f t="shared" ref="G8:G68" si="1">ROUND((C8*F8)/B8,2)</f>
        <v>0</v>
      </c>
      <c r="H8" s="1527">
        <v>6</v>
      </c>
      <c r="I8" s="1520">
        <f t="shared" ref="I8:I68" si="2">ROUND((C8*H8)/B8,2)</f>
        <v>0</v>
      </c>
      <c r="J8" s="1523">
        <v>2</v>
      </c>
      <c r="K8" s="1524">
        <f t="shared" ref="K8:K68" si="3">ROUND((C8*J8)/B8,2)</f>
        <v>0</v>
      </c>
    </row>
    <row r="9" spans="1:11" x14ac:dyDescent="0.2">
      <c r="A9" s="214" t="s">
        <v>320</v>
      </c>
      <c r="B9" s="218">
        <v>12</v>
      </c>
      <c r="C9" s="223">
        <v>0</v>
      </c>
      <c r="D9" s="224">
        <v>0</v>
      </c>
      <c r="E9" s="225">
        <f t="shared" si="0"/>
        <v>0</v>
      </c>
      <c r="F9" s="455">
        <v>1</v>
      </c>
      <c r="G9" s="445">
        <f t="shared" si="1"/>
        <v>0</v>
      </c>
      <c r="H9" s="1526">
        <v>0</v>
      </c>
      <c r="I9" s="225">
        <f t="shared" si="2"/>
        <v>0</v>
      </c>
      <c r="J9" s="226">
        <v>1</v>
      </c>
      <c r="K9" s="461">
        <f t="shared" si="3"/>
        <v>0</v>
      </c>
    </row>
    <row r="10" spans="1:11" x14ac:dyDescent="0.2">
      <c r="A10" s="214" t="s">
        <v>321</v>
      </c>
      <c r="B10" s="218">
        <v>3</v>
      </c>
      <c r="C10" s="223">
        <v>0</v>
      </c>
      <c r="D10" s="224">
        <v>0</v>
      </c>
      <c r="E10" s="225">
        <f t="shared" si="0"/>
        <v>0</v>
      </c>
      <c r="F10" s="455">
        <v>1</v>
      </c>
      <c r="G10" s="445">
        <f t="shared" si="1"/>
        <v>0</v>
      </c>
      <c r="H10" s="1526">
        <v>0</v>
      </c>
      <c r="I10" s="225">
        <f t="shared" si="2"/>
        <v>0</v>
      </c>
      <c r="J10" s="226">
        <v>1</v>
      </c>
      <c r="K10" s="461">
        <f t="shared" si="3"/>
        <v>0</v>
      </c>
    </row>
    <row r="11" spans="1:11" x14ac:dyDescent="0.2">
      <c r="A11" s="214" t="s">
        <v>258</v>
      </c>
      <c r="B11" s="218">
        <v>3</v>
      </c>
      <c r="C11" s="223">
        <v>0</v>
      </c>
      <c r="D11" s="224">
        <v>1</v>
      </c>
      <c r="E11" s="225">
        <f t="shared" si="0"/>
        <v>0</v>
      </c>
      <c r="F11" s="455">
        <v>1</v>
      </c>
      <c r="G11" s="445">
        <f t="shared" si="1"/>
        <v>0</v>
      </c>
      <c r="H11" s="1526">
        <v>1</v>
      </c>
      <c r="I11" s="225">
        <f t="shared" si="2"/>
        <v>0</v>
      </c>
      <c r="J11" s="226">
        <v>4</v>
      </c>
      <c r="K11" s="461">
        <f t="shared" si="3"/>
        <v>0</v>
      </c>
    </row>
    <row r="12" spans="1:11" x14ac:dyDescent="0.2">
      <c r="A12" s="214" t="s">
        <v>220</v>
      </c>
      <c r="B12" s="218">
        <v>3</v>
      </c>
      <c r="C12" s="223">
        <v>0</v>
      </c>
      <c r="D12" s="224">
        <v>6</v>
      </c>
      <c r="E12" s="225">
        <f t="shared" si="0"/>
        <v>0</v>
      </c>
      <c r="F12" s="455">
        <v>3</v>
      </c>
      <c r="G12" s="445">
        <f t="shared" si="1"/>
        <v>0</v>
      </c>
      <c r="H12" s="1526">
        <v>6</v>
      </c>
      <c r="I12" s="225">
        <f t="shared" si="2"/>
        <v>0</v>
      </c>
      <c r="J12" s="226">
        <v>4</v>
      </c>
      <c r="K12" s="461">
        <f t="shared" si="3"/>
        <v>0</v>
      </c>
    </row>
    <row r="13" spans="1:11" x14ac:dyDescent="0.2">
      <c r="A13" s="214" t="s">
        <v>322</v>
      </c>
      <c r="B13" s="218">
        <v>6</v>
      </c>
      <c r="C13" s="223">
        <v>0</v>
      </c>
      <c r="D13" s="224">
        <v>1</v>
      </c>
      <c r="E13" s="225">
        <f t="shared" si="0"/>
        <v>0</v>
      </c>
      <c r="F13" s="455">
        <v>2</v>
      </c>
      <c r="G13" s="445">
        <f t="shared" si="1"/>
        <v>0</v>
      </c>
      <c r="H13" s="1526">
        <v>0</v>
      </c>
      <c r="I13" s="225">
        <f t="shared" si="2"/>
        <v>0</v>
      </c>
      <c r="J13" s="226">
        <v>1</v>
      </c>
      <c r="K13" s="461">
        <f t="shared" si="3"/>
        <v>0</v>
      </c>
    </row>
    <row r="14" spans="1:11" x14ac:dyDescent="0.2">
      <c r="A14" s="214" t="s">
        <v>323</v>
      </c>
      <c r="B14" s="218">
        <v>12</v>
      </c>
      <c r="C14" s="223">
        <v>0</v>
      </c>
      <c r="D14" s="224">
        <v>1</v>
      </c>
      <c r="E14" s="225">
        <f t="shared" si="0"/>
        <v>0</v>
      </c>
      <c r="F14" s="455">
        <v>1</v>
      </c>
      <c r="G14" s="445">
        <f t="shared" si="1"/>
        <v>0</v>
      </c>
      <c r="H14" s="1526">
        <v>0</v>
      </c>
      <c r="I14" s="225">
        <f t="shared" si="2"/>
        <v>0</v>
      </c>
      <c r="J14" s="226">
        <v>1</v>
      </c>
      <c r="K14" s="461">
        <f t="shared" si="3"/>
        <v>0</v>
      </c>
    </row>
    <row r="15" spans="1:11" x14ac:dyDescent="0.2">
      <c r="A15" s="214" t="s">
        <v>221</v>
      </c>
      <c r="B15" s="218">
        <v>1</v>
      </c>
      <c r="C15" s="223">
        <v>0</v>
      </c>
      <c r="D15" s="224">
        <v>6</v>
      </c>
      <c r="E15" s="225">
        <f t="shared" si="0"/>
        <v>0</v>
      </c>
      <c r="F15" s="455">
        <v>2</v>
      </c>
      <c r="G15" s="445">
        <f t="shared" si="1"/>
        <v>0</v>
      </c>
      <c r="H15" s="1526">
        <v>6</v>
      </c>
      <c r="I15" s="225">
        <f t="shared" si="2"/>
        <v>0</v>
      </c>
      <c r="J15" s="226">
        <v>4</v>
      </c>
      <c r="K15" s="461">
        <f t="shared" si="3"/>
        <v>0</v>
      </c>
    </row>
    <row r="16" spans="1:11" x14ac:dyDescent="0.2">
      <c r="A16" s="214" t="s">
        <v>324</v>
      </c>
      <c r="B16" s="218">
        <v>12</v>
      </c>
      <c r="C16" s="223">
        <v>0</v>
      </c>
      <c r="D16" s="224">
        <v>1</v>
      </c>
      <c r="E16" s="225">
        <f t="shared" si="0"/>
        <v>0</v>
      </c>
      <c r="F16" s="455">
        <v>1</v>
      </c>
      <c r="G16" s="445">
        <f t="shared" si="1"/>
        <v>0</v>
      </c>
      <c r="H16" s="1526">
        <v>1</v>
      </c>
      <c r="I16" s="225">
        <f t="shared" si="2"/>
        <v>0</v>
      </c>
      <c r="J16" s="226">
        <v>2</v>
      </c>
      <c r="K16" s="461">
        <f t="shared" si="3"/>
        <v>0</v>
      </c>
    </row>
    <row r="17" spans="1:11" x14ac:dyDescent="0.2">
      <c r="A17" s="214" t="s">
        <v>259</v>
      </c>
      <c r="B17" s="218">
        <v>12</v>
      </c>
      <c r="C17" s="223">
        <v>0</v>
      </c>
      <c r="D17" s="224">
        <v>2</v>
      </c>
      <c r="E17" s="225">
        <f t="shared" si="0"/>
        <v>0</v>
      </c>
      <c r="F17" s="455">
        <v>1</v>
      </c>
      <c r="G17" s="445">
        <f t="shared" si="1"/>
        <v>0</v>
      </c>
      <c r="H17" s="1526">
        <v>5</v>
      </c>
      <c r="I17" s="225">
        <f t="shared" si="2"/>
        <v>0</v>
      </c>
      <c r="J17" s="226">
        <v>2</v>
      </c>
      <c r="K17" s="461">
        <f t="shared" si="3"/>
        <v>0</v>
      </c>
    </row>
    <row r="18" spans="1:11" x14ac:dyDescent="0.2">
      <c r="A18" s="214" t="s">
        <v>222</v>
      </c>
      <c r="B18" s="218">
        <v>3</v>
      </c>
      <c r="C18" s="223">
        <v>0</v>
      </c>
      <c r="D18" s="224">
        <v>4</v>
      </c>
      <c r="E18" s="225">
        <f t="shared" si="0"/>
        <v>0</v>
      </c>
      <c r="F18" s="455">
        <v>1</v>
      </c>
      <c r="G18" s="445">
        <f t="shared" si="1"/>
        <v>0</v>
      </c>
      <c r="H18" s="1526">
        <v>0</v>
      </c>
      <c r="I18" s="225">
        <f t="shared" si="2"/>
        <v>0</v>
      </c>
      <c r="J18" s="226">
        <v>2</v>
      </c>
      <c r="K18" s="461">
        <f t="shared" si="3"/>
        <v>0</v>
      </c>
    </row>
    <row r="19" spans="1:11" x14ac:dyDescent="0.2">
      <c r="A19" s="214" t="s">
        <v>325</v>
      </c>
      <c r="B19" s="218">
        <v>12</v>
      </c>
      <c r="C19" s="223">
        <v>0</v>
      </c>
      <c r="D19" s="224">
        <v>1</v>
      </c>
      <c r="E19" s="225">
        <f t="shared" si="0"/>
        <v>0</v>
      </c>
      <c r="F19" s="455">
        <v>1</v>
      </c>
      <c r="G19" s="445">
        <f t="shared" si="1"/>
        <v>0</v>
      </c>
      <c r="H19" s="1526">
        <v>2</v>
      </c>
      <c r="I19" s="225">
        <f t="shared" si="2"/>
        <v>0</v>
      </c>
      <c r="J19" s="226">
        <v>2</v>
      </c>
      <c r="K19" s="461">
        <f t="shared" si="3"/>
        <v>0</v>
      </c>
    </row>
    <row r="20" spans="1:11" x14ac:dyDescent="0.2">
      <c r="A20" s="214" t="s">
        <v>260</v>
      </c>
      <c r="B20" s="218">
        <v>3</v>
      </c>
      <c r="C20" s="223">
        <v>0</v>
      </c>
      <c r="D20" s="224">
        <v>2</v>
      </c>
      <c r="E20" s="225">
        <f t="shared" si="0"/>
        <v>0</v>
      </c>
      <c r="F20" s="455">
        <v>2</v>
      </c>
      <c r="G20" s="445">
        <f t="shared" si="1"/>
        <v>0</v>
      </c>
      <c r="H20" s="1526">
        <v>5</v>
      </c>
      <c r="I20" s="225">
        <f t="shared" si="2"/>
        <v>0</v>
      </c>
      <c r="J20" s="226">
        <v>4</v>
      </c>
      <c r="K20" s="461">
        <f t="shared" si="3"/>
        <v>0</v>
      </c>
    </row>
    <row r="21" spans="1:11" x14ac:dyDescent="0.2">
      <c r="A21" s="214" t="s">
        <v>223</v>
      </c>
      <c r="B21" s="218">
        <v>1</v>
      </c>
      <c r="C21" s="223">
        <v>0</v>
      </c>
      <c r="D21" s="224">
        <v>2</v>
      </c>
      <c r="E21" s="225">
        <f t="shared" si="0"/>
        <v>0</v>
      </c>
      <c r="F21" s="455">
        <v>2</v>
      </c>
      <c r="G21" s="445">
        <f t="shared" si="1"/>
        <v>0</v>
      </c>
      <c r="H21" s="1526">
        <v>3</v>
      </c>
      <c r="I21" s="225">
        <f t="shared" si="2"/>
        <v>0</v>
      </c>
      <c r="J21" s="226">
        <v>5</v>
      </c>
      <c r="K21" s="461">
        <f t="shared" si="3"/>
        <v>0</v>
      </c>
    </row>
    <row r="22" spans="1:11" x14ac:dyDescent="0.2">
      <c r="A22" s="214" t="s">
        <v>224</v>
      </c>
      <c r="B22" s="218">
        <v>1</v>
      </c>
      <c r="C22" s="223">
        <v>0</v>
      </c>
      <c r="D22" s="224">
        <v>4</v>
      </c>
      <c r="E22" s="225">
        <f t="shared" si="0"/>
        <v>0</v>
      </c>
      <c r="F22" s="455">
        <v>3</v>
      </c>
      <c r="G22" s="445">
        <f t="shared" si="1"/>
        <v>0</v>
      </c>
      <c r="H22" s="1526">
        <v>5</v>
      </c>
      <c r="I22" s="225">
        <f t="shared" si="2"/>
        <v>0</v>
      </c>
      <c r="J22" s="226">
        <v>4</v>
      </c>
      <c r="K22" s="461">
        <f t="shared" si="3"/>
        <v>0</v>
      </c>
    </row>
    <row r="23" spans="1:11" x14ac:dyDescent="0.2">
      <c r="A23" s="214" t="s">
        <v>261</v>
      </c>
      <c r="B23" s="218">
        <v>12</v>
      </c>
      <c r="C23" s="223">
        <v>0</v>
      </c>
      <c r="D23" s="224">
        <v>1</v>
      </c>
      <c r="E23" s="225">
        <f t="shared" si="0"/>
        <v>0</v>
      </c>
      <c r="F23" s="455">
        <v>2</v>
      </c>
      <c r="G23" s="445">
        <f t="shared" si="1"/>
        <v>0</v>
      </c>
      <c r="H23" s="1526">
        <v>1</v>
      </c>
      <c r="I23" s="225">
        <f t="shared" si="2"/>
        <v>0</v>
      </c>
      <c r="J23" s="226">
        <v>2</v>
      </c>
      <c r="K23" s="461">
        <f t="shared" si="3"/>
        <v>0</v>
      </c>
    </row>
    <row r="24" spans="1:11" x14ac:dyDescent="0.2">
      <c r="A24" s="214" t="s">
        <v>326</v>
      </c>
      <c r="B24" s="218">
        <v>12</v>
      </c>
      <c r="C24" s="223">
        <v>0</v>
      </c>
      <c r="D24" s="224">
        <v>0</v>
      </c>
      <c r="E24" s="225">
        <f t="shared" si="0"/>
        <v>0</v>
      </c>
      <c r="F24" s="455">
        <v>1</v>
      </c>
      <c r="G24" s="445">
        <f t="shared" si="1"/>
        <v>0</v>
      </c>
      <c r="H24" s="1526">
        <v>0</v>
      </c>
      <c r="I24" s="225">
        <f t="shared" si="2"/>
        <v>0</v>
      </c>
      <c r="J24" s="226">
        <v>1</v>
      </c>
      <c r="K24" s="461">
        <f t="shared" si="3"/>
        <v>0</v>
      </c>
    </row>
    <row r="25" spans="1:11" x14ac:dyDescent="0.2">
      <c r="A25" s="214" t="s">
        <v>327</v>
      </c>
      <c r="B25" s="218">
        <v>3</v>
      </c>
      <c r="C25" s="223">
        <v>0</v>
      </c>
      <c r="D25" s="224">
        <v>1</v>
      </c>
      <c r="E25" s="225">
        <f t="shared" si="0"/>
        <v>0</v>
      </c>
      <c r="F25" s="455">
        <v>2</v>
      </c>
      <c r="G25" s="445">
        <f t="shared" si="1"/>
        <v>0</v>
      </c>
      <c r="H25" s="1526">
        <v>0</v>
      </c>
      <c r="I25" s="225">
        <f t="shared" si="2"/>
        <v>0</v>
      </c>
      <c r="J25" s="226">
        <v>4</v>
      </c>
      <c r="K25" s="461">
        <f t="shared" si="3"/>
        <v>0</v>
      </c>
    </row>
    <row r="26" spans="1:11" x14ac:dyDescent="0.2">
      <c r="A26" s="214" t="s">
        <v>262</v>
      </c>
      <c r="B26" s="218">
        <v>3</v>
      </c>
      <c r="C26" s="223">
        <v>0</v>
      </c>
      <c r="D26" s="224">
        <v>2</v>
      </c>
      <c r="E26" s="225">
        <f t="shared" si="0"/>
        <v>0</v>
      </c>
      <c r="F26" s="455">
        <v>0</v>
      </c>
      <c r="G26" s="445">
        <f t="shared" si="1"/>
        <v>0</v>
      </c>
      <c r="H26" s="1526">
        <v>5</v>
      </c>
      <c r="I26" s="225">
        <f t="shared" si="2"/>
        <v>0</v>
      </c>
      <c r="J26" s="226">
        <v>4</v>
      </c>
      <c r="K26" s="461">
        <f t="shared" si="3"/>
        <v>0</v>
      </c>
    </row>
    <row r="27" spans="1:11" x14ac:dyDescent="0.2">
      <c r="A27" s="214" t="s">
        <v>328</v>
      </c>
      <c r="B27" s="218">
        <v>3</v>
      </c>
      <c r="C27" s="223">
        <v>0</v>
      </c>
      <c r="D27" s="224">
        <v>2</v>
      </c>
      <c r="E27" s="225">
        <f t="shared" si="0"/>
        <v>0</v>
      </c>
      <c r="F27" s="455">
        <v>2</v>
      </c>
      <c r="G27" s="445">
        <f t="shared" si="1"/>
        <v>0</v>
      </c>
      <c r="H27" s="1526">
        <v>5</v>
      </c>
      <c r="I27" s="225">
        <f t="shared" si="2"/>
        <v>0</v>
      </c>
      <c r="J27" s="226">
        <v>0</v>
      </c>
      <c r="K27" s="461">
        <f t="shared" si="3"/>
        <v>0</v>
      </c>
    </row>
    <row r="28" spans="1:11" x14ac:dyDescent="0.2">
      <c r="A28" s="214" t="s">
        <v>263</v>
      </c>
      <c r="B28" s="218">
        <v>3</v>
      </c>
      <c r="C28" s="223">
        <v>0</v>
      </c>
      <c r="D28" s="224">
        <v>1</v>
      </c>
      <c r="E28" s="225">
        <f t="shared" si="0"/>
        <v>0</v>
      </c>
      <c r="F28" s="455">
        <v>0</v>
      </c>
      <c r="G28" s="445">
        <f t="shared" si="1"/>
        <v>0</v>
      </c>
      <c r="H28" s="1526">
        <v>0</v>
      </c>
      <c r="I28" s="225">
        <f t="shared" si="2"/>
        <v>0</v>
      </c>
      <c r="J28" s="226">
        <v>1</v>
      </c>
      <c r="K28" s="461">
        <f t="shared" si="3"/>
        <v>0</v>
      </c>
    </row>
    <row r="29" spans="1:11" x14ac:dyDescent="0.2">
      <c r="A29" s="214" t="s">
        <v>389</v>
      </c>
      <c r="B29" s="218">
        <v>12</v>
      </c>
      <c r="C29" s="223">
        <v>0</v>
      </c>
      <c r="D29" s="224">
        <v>2</v>
      </c>
      <c r="E29" s="225">
        <f t="shared" si="0"/>
        <v>0</v>
      </c>
      <c r="F29" s="455">
        <v>2</v>
      </c>
      <c r="G29" s="445">
        <f t="shared" si="1"/>
        <v>0</v>
      </c>
      <c r="H29" s="1526">
        <v>2</v>
      </c>
      <c r="I29" s="225">
        <f t="shared" si="2"/>
        <v>0</v>
      </c>
      <c r="J29" s="226">
        <v>2</v>
      </c>
      <c r="K29" s="461">
        <f t="shared" si="3"/>
        <v>0</v>
      </c>
    </row>
    <row r="30" spans="1:11" x14ac:dyDescent="0.2">
      <c r="A30" s="214" t="s">
        <v>329</v>
      </c>
      <c r="B30" s="218">
        <v>3</v>
      </c>
      <c r="C30" s="223">
        <v>0</v>
      </c>
      <c r="D30" s="224">
        <v>3</v>
      </c>
      <c r="E30" s="225">
        <f t="shared" si="0"/>
        <v>0</v>
      </c>
      <c r="F30" s="455">
        <v>3</v>
      </c>
      <c r="G30" s="445">
        <f t="shared" si="1"/>
        <v>0</v>
      </c>
      <c r="H30" s="1526">
        <v>10</v>
      </c>
      <c r="I30" s="225">
        <f t="shared" si="2"/>
        <v>0</v>
      </c>
      <c r="J30" s="226">
        <v>5</v>
      </c>
      <c r="K30" s="461">
        <f t="shared" si="3"/>
        <v>0</v>
      </c>
    </row>
    <row r="31" spans="1:11" x14ac:dyDescent="0.2">
      <c r="A31" s="214" t="s">
        <v>330</v>
      </c>
      <c r="B31" s="218">
        <v>3</v>
      </c>
      <c r="C31" s="223">
        <v>0</v>
      </c>
      <c r="D31" s="224">
        <v>1</v>
      </c>
      <c r="E31" s="225">
        <f t="shared" si="0"/>
        <v>0</v>
      </c>
      <c r="F31" s="455">
        <v>3</v>
      </c>
      <c r="G31" s="445">
        <f t="shared" si="1"/>
        <v>0</v>
      </c>
      <c r="H31" s="1526">
        <v>10</v>
      </c>
      <c r="I31" s="225">
        <f t="shared" si="2"/>
        <v>0</v>
      </c>
      <c r="J31" s="226">
        <v>4</v>
      </c>
      <c r="K31" s="461">
        <f t="shared" si="3"/>
        <v>0</v>
      </c>
    </row>
    <row r="32" spans="1:11" x14ac:dyDescent="0.2">
      <c r="A32" s="214" t="s">
        <v>331</v>
      </c>
      <c r="B32" s="218">
        <v>3</v>
      </c>
      <c r="C32" s="223">
        <v>0</v>
      </c>
      <c r="D32" s="224">
        <v>1</v>
      </c>
      <c r="E32" s="225">
        <f t="shared" si="0"/>
        <v>0</v>
      </c>
      <c r="F32" s="455">
        <v>3</v>
      </c>
      <c r="G32" s="445">
        <f t="shared" si="1"/>
        <v>0</v>
      </c>
      <c r="H32" s="1526">
        <v>4</v>
      </c>
      <c r="I32" s="225">
        <f t="shared" si="2"/>
        <v>0</v>
      </c>
      <c r="J32" s="226">
        <v>5</v>
      </c>
      <c r="K32" s="461">
        <f t="shared" si="3"/>
        <v>0</v>
      </c>
    </row>
    <row r="33" spans="1:11" x14ac:dyDescent="0.2">
      <c r="A33" s="214" t="s">
        <v>332</v>
      </c>
      <c r="B33" s="218">
        <v>3</v>
      </c>
      <c r="C33" s="223">
        <v>0</v>
      </c>
      <c r="D33" s="224">
        <v>6</v>
      </c>
      <c r="E33" s="225">
        <f t="shared" si="0"/>
        <v>0</v>
      </c>
      <c r="F33" s="455">
        <v>0</v>
      </c>
      <c r="G33" s="445">
        <f t="shared" si="1"/>
        <v>0</v>
      </c>
      <c r="H33" s="1526">
        <v>15</v>
      </c>
      <c r="I33" s="225">
        <f t="shared" si="2"/>
        <v>0</v>
      </c>
      <c r="J33" s="226">
        <v>6</v>
      </c>
      <c r="K33" s="461">
        <f t="shared" si="3"/>
        <v>0</v>
      </c>
    </row>
    <row r="34" spans="1:11" x14ac:dyDescent="0.2">
      <c r="A34" s="214" t="s">
        <v>333</v>
      </c>
      <c r="B34" s="218">
        <v>3</v>
      </c>
      <c r="C34" s="223">
        <v>0</v>
      </c>
      <c r="D34" s="224">
        <v>9</v>
      </c>
      <c r="E34" s="225">
        <f t="shared" si="0"/>
        <v>0</v>
      </c>
      <c r="F34" s="455">
        <v>6</v>
      </c>
      <c r="G34" s="445">
        <f t="shared" si="1"/>
        <v>0</v>
      </c>
      <c r="H34" s="1526">
        <v>15</v>
      </c>
      <c r="I34" s="225">
        <f t="shared" si="2"/>
        <v>0</v>
      </c>
      <c r="J34" s="226">
        <v>6</v>
      </c>
      <c r="K34" s="461">
        <f t="shared" si="3"/>
        <v>0</v>
      </c>
    </row>
    <row r="35" spans="1:11" x14ac:dyDescent="0.2">
      <c r="A35" s="214" t="s">
        <v>264</v>
      </c>
      <c r="B35" s="218">
        <v>3</v>
      </c>
      <c r="C35" s="223">
        <v>0</v>
      </c>
      <c r="D35" s="224">
        <v>2</v>
      </c>
      <c r="E35" s="225">
        <f t="shared" si="0"/>
        <v>0</v>
      </c>
      <c r="F35" s="455">
        <v>2</v>
      </c>
      <c r="G35" s="445">
        <f t="shared" si="1"/>
        <v>0</v>
      </c>
      <c r="H35" s="1526">
        <v>6</v>
      </c>
      <c r="I35" s="225">
        <f t="shared" si="2"/>
        <v>0</v>
      </c>
      <c r="J35" s="226">
        <v>10</v>
      </c>
      <c r="K35" s="461">
        <f t="shared" si="3"/>
        <v>0</v>
      </c>
    </row>
    <row r="36" spans="1:11" x14ac:dyDescent="0.2">
      <c r="A36" s="214" t="s">
        <v>334</v>
      </c>
      <c r="B36" s="218">
        <v>3</v>
      </c>
      <c r="C36" s="223">
        <v>0</v>
      </c>
      <c r="D36" s="224">
        <v>0</v>
      </c>
      <c r="E36" s="225">
        <f t="shared" si="0"/>
        <v>0</v>
      </c>
      <c r="F36" s="455">
        <v>0</v>
      </c>
      <c r="G36" s="445">
        <f t="shared" si="1"/>
        <v>0</v>
      </c>
      <c r="H36" s="1526">
        <v>6</v>
      </c>
      <c r="I36" s="225">
        <f t="shared" si="2"/>
        <v>0</v>
      </c>
      <c r="J36" s="226">
        <v>0</v>
      </c>
      <c r="K36" s="461">
        <f t="shared" si="3"/>
        <v>0</v>
      </c>
    </row>
    <row r="37" spans="1:11" x14ac:dyDescent="0.2">
      <c r="A37" s="214" t="s">
        <v>265</v>
      </c>
      <c r="B37" s="218">
        <v>3</v>
      </c>
      <c r="C37" s="223">
        <v>0</v>
      </c>
      <c r="D37" s="224">
        <v>3</v>
      </c>
      <c r="E37" s="225">
        <f t="shared" si="0"/>
        <v>0</v>
      </c>
      <c r="F37" s="455">
        <v>2</v>
      </c>
      <c r="G37" s="445">
        <f t="shared" si="1"/>
        <v>0</v>
      </c>
      <c r="H37" s="1526">
        <v>0</v>
      </c>
      <c r="I37" s="225">
        <f t="shared" si="2"/>
        <v>0</v>
      </c>
      <c r="J37" s="226">
        <v>5</v>
      </c>
      <c r="K37" s="461">
        <f t="shared" si="3"/>
        <v>0</v>
      </c>
    </row>
    <row r="38" spans="1:11" x14ac:dyDescent="0.2">
      <c r="A38" s="214" t="s">
        <v>335</v>
      </c>
      <c r="B38" s="218">
        <v>3</v>
      </c>
      <c r="C38" s="223">
        <v>0</v>
      </c>
      <c r="D38" s="224">
        <v>0</v>
      </c>
      <c r="E38" s="225">
        <f t="shared" si="0"/>
        <v>0</v>
      </c>
      <c r="F38" s="455">
        <v>0</v>
      </c>
      <c r="G38" s="445">
        <f t="shared" si="1"/>
        <v>0</v>
      </c>
      <c r="H38" s="1526">
        <v>6</v>
      </c>
      <c r="I38" s="225">
        <f t="shared" si="2"/>
        <v>0</v>
      </c>
      <c r="J38" s="226">
        <v>0</v>
      </c>
      <c r="K38" s="461">
        <f t="shared" si="3"/>
        <v>0</v>
      </c>
    </row>
    <row r="39" spans="1:11" x14ac:dyDescent="0.2">
      <c r="A39" s="214" t="s">
        <v>336</v>
      </c>
      <c r="B39" s="218">
        <v>3</v>
      </c>
      <c r="C39" s="223">
        <v>0</v>
      </c>
      <c r="D39" s="224">
        <v>0</v>
      </c>
      <c r="E39" s="225">
        <f t="shared" si="0"/>
        <v>0</v>
      </c>
      <c r="F39" s="455">
        <v>3</v>
      </c>
      <c r="G39" s="445">
        <f t="shared" si="1"/>
        <v>0</v>
      </c>
      <c r="H39" s="1526">
        <v>6</v>
      </c>
      <c r="I39" s="225">
        <f t="shared" si="2"/>
        <v>0</v>
      </c>
      <c r="J39" s="226">
        <v>0</v>
      </c>
      <c r="K39" s="461">
        <f t="shared" si="3"/>
        <v>0</v>
      </c>
    </row>
    <row r="40" spans="1:11" x14ac:dyDescent="0.2">
      <c r="A40" s="214" t="s">
        <v>337</v>
      </c>
      <c r="B40" s="218">
        <v>12</v>
      </c>
      <c r="C40" s="223">
        <v>0</v>
      </c>
      <c r="D40" s="224">
        <v>0</v>
      </c>
      <c r="E40" s="225">
        <f t="shared" si="0"/>
        <v>0</v>
      </c>
      <c r="F40" s="455">
        <v>0</v>
      </c>
      <c r="G40" s="445">
        <f t="shared" si="1"/>
        <v>0</v>
      </c>
      <c r="H40" s="1526">
        <v>0</v>
      </c>
      <c r="I40" s="225">
        <f t="shared" si="2"/>
        <v>0</v>
      </c>
      <c r="J40" s="226">
        <v>0</v>
      </c>
      <c r="K40" s="461">
        <f t="shared" si="3"/>
        <v>0</v>
      </c>
    </row>
    <row r="41" spans="1:11" x14ac:dyDescent="0.2">
      <c r="A41" s="214" t="s">
        <v>338</v>
      </c>
      <c r="B41" s="218">
        <v>1</v>
      </c>
      <c r="C41" s="223">
        <v>0</v>
      </c>
      <c r="D41" s="224">
        <v>3</v>
      </c>
      <c r="E41" s="225">
        <f t="shared" si="0"/>
        <v>0</v>
      </c>
      <c r="F41" s="455">
        <v>0</v>
      </c>
      <c r="G41" s="445">
        <f t="shared" si="1"/>
        <v>0</v>
      </c>
      <c r="H41" s="1526">
        <v>0</v>
      </c>
      <c r="I41" s="225">
        <f t="shared" si="2"/>
        <v>0</v>
      </c>
      <c r="J41" s="226">
        <v>0</v>
      </c>
      <c r="K41" s="461">
        <f t="shared" si="3"/>
        <v>0</v>
      </c>
    </row>
    <row r="42" spans="1:11" x14ac:dyDescent="0.2">
      <c r="A42" s="214" t="s">
        <v>281</v>
      </c>
      <c r="B42" s="218">
        <v>3</v>
      </c>
      <c r="C42" s="223">
        <v>0</v>
      </c>
      <c r="D42" s="224">
        <v>0</v>
      </c>
      <c r="E42" s="225">
        <f t="shared" si="0"/>
        <v>0</v>
      </c>
      <c r="F42" s="455">
        <v>0</v>
      </c>
      <c r="G42" s="445">
        <f t="shared" si="1"/>
        <v>0</v>
      </c>
      <c r="H42" s="1526">
        <v>0</v>
      </c>
      <c r="I42" s="225">
        <f t="shared" si="2"/>
        <v>0</v>
      </c>
      <c r="J42" s="226">
        <v>0</v>
      </c>
      <c r="K42" s="461">
        <f t="shared" si="3"/>
        <v>0</v>
      </c>
    </row>
    <row r="43" spans="1:11" ht="25.5" x14ac:dyDescent="0.2">
      <c r="A43" s="222" t="s">
        <v>339</v>
      </c>
      <c r="B43" s="218">
        <v>1</v>
      </c>
      <c r="C43" s="223">
        <v>0</v>
      </c>
      <c r="D43" s="224">
        <v>1</v>
      </c>
      <c r="E43" s="225">
        <f t="shared" si="0"/>
        <v>0</v>
      </c>
      <c r="F43" s="455">
        <v>4</v>
      </c>
      <c r="G43" s="445">
        <f t="shared" si="1"/>
        <v>0</v>
      </c>
      <c r="H43" s="1526">
        <v>0</v>
      </c>
      <c r="I43" s="225">
        <f t="shared" si="2"/>
        <v>0</v>
      </c>
      <c r="J43" s="226">
        <v>20</v>
      </c>
      <c r="K43" s="461">
        <f t="shared" si="3"/>
        <v>0</v>
      </c>
    </row>
    <row r="44" spans="1:11" ht="38.25" x14ac:dyDescent="0.2">
      <c r="A44" s="222" t="s">
        <v>340</v>
      </c>
      <c r="B44" s="218">
        <v>1</v>
      </c>
      <c r="C44" s="223">
        <v>0</v>
      </c>
      <c r="D44" s="224">
        <v>6</v>
      </c>
      <c r="E44" s="225">
        <f t="shared" si="0"/>
        <v>0</v>
      </c>
      <c r="F44" s="455">
        <v>0</v>
      </c>
      <c r="G44" s="445">
        <f t="shared" si="1"/>
        <v>0</v>
      </c>
      <c r="H44" s="1526">
        <v>10</v>
      </c>
      <c r="I44" s="225">
        <f t="shared" si="2"/>
        <v>0</v>
      </c>
      <c r="J44" s="226">
        <v>6</v>
      </c>
      <c r="K44" s="461">
        <f t="shared" si="3"/>
        <v>0</v>
      </c>
    </row>
    <row r="45" spans="1:11" ht="38.25" x14ac:dyDescent="0.2">
      <c r="A45" s="222" t="s">
        <v>341</v>
      </c>
      <c r="B45" s="218">
        <v>1</v>
      </c>
      <c r="C45" s="223">
        <v>0</v>
      </c>
      <c r="D45" s="224">
        <v>0</v>
      </c>
      <c r="E45" s="225">
        <f t="shared" si="0"/>
        <v>0</v>
      </c>
      <c r="F45" s="455">
        <v>1</v>
      </c>
      <c r="G45" s="445">
        <f t="shared" si="1"/>
        <v>0</v>
      </c>
      <c r="H45" s="1526">
        <v>0</v>
      </c>
      <c r="I45" s="225">
        <f t="shared" si="2"/>
        <v>0</v>
      </c>
      <c r="J45" s="226">
        <v>0</v>
      </c>
      <c r="K45" s="461">
        <f t="shared" si="3"/>
        <v>0</v>
      </c>
    </row>
    <row r="46" spans="1:11" x14ac:dyDescent="0.2">
      <c r="A46" s="214" t="s">
        <v>342</v>
      </c>
      <c r="B46" s="218">
        <v>1</v>
      </c>
      <c r="C46" s="223">
        <v>0</v>
      </c>
      <c r="D46" s="224">
        <v>6</v>
      </c>
      <c r="E46" s="225">
        <f t="shared" si="0"/>
        <v>0</v>
      </c>
      <c r="F46" s="455">
        <v>0</v>
      </c>
      <c r="G46" s="445">
        <f t="shared" si="1"/>
        <v>0</v>
      </c>
      <c r="H46" s="1526">
        <v>7</v>
      </c>
      <c r="I46" s="225">
        <f t="shared" si="2"/>
        <v>0</v>
      </c>
      <c r="J46" s="226">
        <v>18</v>
      </c>
      <c r="K46" s="461">
        <f t="shared" si="3"/>
        <v>0</v>
      </c>
    </row>
    <row r="47" spans="1:11" x14ac:dyDescent="0.2">
      <c r="A47" s="214" t="s">
        <v>343</v>
      </c>
      <c r="B47" s="218">
        <v>3</v>
      </c>
      <c r="C47" s="223">
        <v>0</v>
      </c>
      <c r="D47" s="224">
        <v>4</v>
      </c>
      <c r="E47" s="225">
        <f t="shared" si="0"/>
        <v>0</v>
      </c>
      <c r="F47" s="455">
        <v>6</v>
      </c>
      <c r="G47" s="445">
        <f t="shared" si="1"/>
        <v>0</v>
      </c>
      <c r="H47" s="1526">
        <v>10</v>
      </c>
      <c r="I47" s="225">
        <f t="shared" si="2"/>
        <v>0</v>
      </c>
      <c r="J47" s="226">
        <v>30</v>
      </c>
      <c r="K47" s="461">
        <f t="shared" si="3"/>
        <v>0</v>
      </c>
    </row>
    <row r="48" spans="1:11" x14ac:dyDescent="0.2">
      <c r="A48" s="214" t="s">
        <v>344</v>
      </c>
      <c r="B48" s="218">
        <v>12</v>
      </c>
      <c r="C48" s="223">
        <v>0</v>
      </c>
      <c r="D48" s="224">
        <v>0</v>
      </c>
      <c r="E48" s="225">
        <f t="shared" si="0"/>
        <v>0</v>
      </c>
      <c r="F48" s="455">
        <v>0</v>
      </c>
      <c r="G48" s="445">
        <f t="shared" si="1"/>
        <v>0</v>
      </c>
      <c r="H48" s="1526">
        <v>4</v>
      </c>
      <c r="I48" s="225">
        <f t="shared" si="2"/>
        <v>0</v>
      </c>
      <c r="J48" s="226">
        <v>50</v>
      </c>
      <c r="K48" s="461">
        <f t="shared" si="3"/>
        <v>0</v>
      </c>
    </row>
    <row r="49" spans="1:11" x14ac:dyDescent="0.2">
      <c r="A49" s="214" t="s">
        <v>345</v>
      </c>
      <c r="B49" s="218">
        <v>12</v>
      </c>
      <c r="C49" s="223">
        <v>0</v>
      </c>
      <c r="D49" s="224">
        <v>0</v>
      </c>
      <c r="E49" s="225">
        <f t="shared" si="0"/>
        <v>0</v>
      </c>
      <c r="F49" s="455">
        <v>0</v>
      </c>
      <c r="G49" s="445">
        <f t="shared" si="1"/>
        <v>0</v>
      </c>
      <c r="H49" s="1526">
        <v>0</v>
      </c>
      <c r="I49" s="225">
        <f t="shared" si="2"/>
        <v>0</v>
      </c>
      <c r="J49" s="226">
        <v>8</v>
      </c>
      <c r="K49" s="461">
        <f t="shared" si="3"/>
        <v>0</v>
      </c>
    </row>
    <row r="50" spans="1:11" x14ac:dyDescent="0.2">
      <c r="A50" s="214" t="s">
        <v>346</v>
      </c>
      <c r="B50" s="218">
        <v>12</v>
      </c>
      <c r="C50" s="223">
        <v>0</v>
      </c>
      <c r="D50" s="224">
        <v>6</v>
      </c>
      <c r="E50" s="225">
        <f t="shared" si="0"/>
        <v>0</v>
      </c>
      <c r="F50" s="455">
        <v>1</v>
      </c>
      <c r="G50" s="445">
        <f t="shared" si="1"/>
        <v>0</v>
      </c>
      <c r="H50" s="1526">
        <v>0</v>
      </c>
      <c r="I50" s="225">
        <f t="shared" si="2"/>
        <v>0</v>
      </c>
      <c r="J50" s="226">
        <v>7</v>
      </c>
      <c r="K50" s="461">
        <f t="shared" si="3"/>
        <v>0</v>
      </c>
    </row>
    <row r="51" spans="1:11" x14ac:dyDescent="0.2">
      <c r="A51" s="214" t="s">
        <v>347</v>
      </c>
      <c r="B51" s="218">
        <v>12</v>
      </c>
      <c r="C51" s="223">
        <v>0</v>
      </c>
      <c r="D51" s="224">
        <v>10</v>
      </c>
      <c r="E51" s="225">
        <f t="shared" si="0"/>
        <v>0</v>
      </c>
      <c r="F51" s="455">
        <v>0</v>
      </c>
      <c r="G51" s="445">
        <f t="shared" si="1"/>
        <v>0</v>
      </c>
      <c r="H51" s="1526">
        <v>0</v>
      </c>
      <c r="I51" s="225">
        <f t="shared" si="2"/>
        <v>0</v>
      </c>
      <c r="J51" s="226">
        <v>7</v>
      </c>
      <c r="K51" s="461">
        <f t="shared" si="3"/>
        <v>0</v>
      </c>
    </row>
    <row r="52" spans="1:11" x14ac:dyDescent="0.2">
      <c r="A52" s="214" t="s">
        <v>348</v>
      </c>
      <c r="B52" s="218">
        <v>1</v>
      </c>
      <c r="C52" s="223">
        <v>0</v>
      </c>
      <c r="D52" s="224">
        <v>10</v>
      </c>
      <c r="E52" s="225">
        <f t="shared" si="0"/>
        <v>0</v>
      </c>
      <c r="F52" s="455">
        <v>1</v>
      </c>
      <c r="G52" s="445">
        <f t="shared" si="1"/>
        <v>0</v>
      </c>
      <c r="H52" s="1526">
        <v>3</v>
      </c>
      <c r="I52" s="225">
        <f t="shared" si="2"/>
        <v>0</v>
      </c>
      <c r="J52" s="226">
        <v>2</v>
      </c>
      <c r="K52" s="461">
        <f t="shared" si="3"/>
        <v>0</v>
      </c>
    </row>
    <row r="53" spans="1:11" x14ac:dyDescent="0.2">
      <c r="A53" s="214" t="s">
        <v>266</v>
      </c>
      <c r="B53" s="218">
        <v>1</v>
      </c>
      <c r="C53" s="223">
        <v>0</v>
      </c>
      <c r="D53" s="224">
        <v>5</v>
      </c>
      <c r="E53" s="225">
        <f t="shared" si="0"/>
        <v>0</v>
      </c>
      <c r="F53" s="455">
        <v>6</v>
      </c>
      <c r="G53" s="445">
        <f t="shared" si="1"/>
        <v>0</v>
      </c>
      <c r="H53" s="1526">
        <v>15</v>
      </c>
      <c r="I53" s="225">
        <f t="shared" si="2"/>
        <v>0</v>
      </c>
      <c r="J53" s="226">
        <v>12</v>
      </c>
      <c r="K53" s="461">
        <f t="shared" si="3"/>
        <v>0</v>
      </c>
    </row>
    <row r="54" spans="1:11" x14ac:dyDescent="0.2">
      <c r="A54" s="214" t="s">
        <v>267</v>
      </c>
      <c r="B54" s="218">
        <v>1</v>
      </c>
      <c r="C54" s="223">
        <v>0</v>
      </c>
      <c r="D54" s="224">
        <v>8</v>
      </c>
      <c r="E54" s="225">
        <f t="shared" si="0"/>
        <v>0</v>
      </c>
      <c r="F54" s="455">
        <v>5</v>
      </c>
      <c r="G54" s="445">
        <f t="shared" si="1"/>
        <v>0</v>
      </c>
      <c r="H54" s="1526">
        <v>10</v>
      </c>
      <c r="I54" s="225">
        <f t="shared" si="2"/>
        <v>0</v>
      </c>
      <c r="J54" s="226">
        <v>6</v>
      </c>
      <c r="K54" s="461">
        <f t="shared" si="3"/>
        <v>0</v>
      </c>
    </row>
    <row r="55" spans="1:11" x14ac:dyDescent="0.2">
      <c r="A55" s="214" t="s">
        <v>268</v>
      </c>
      <c r="B55" s="218">
        <v>1</v>
      </c>
      <c r="C55" s="223">
        <v>0</v>
      </c>
      <c r="D55" s="224">
        <v>0</v>
      </c>
      <c r="E55" s="225">
        <f t="shared" si="0"/>
        <v>0</v>
      </c>
      <c r="F55" s="455">
        <v>0</v>
      </c>
      <c r="G55" s="445">
        <f t="shared" si="1"/>
        <v>0</v>
      </c>
      <c r="H55" s="1526">
        <v>10</v>
      </c>
      <c r="I55" s="225">
        <f t="shared" si="2"/>
        <v>0</v>
      </c>
      <c r="J55" s="226">
        <v>0</v>
      </c>
      <c r="K55" s="461">
        <f t="shared" si="3"/>
        <v>0</v>
      </c>
    </row>
    <row r="56" spans="1:11" x14ac:dyDescent="0.2">
      <c r="A56" s="214" t="s">
        <v>269</v>
      </c>
      <c r="B56" s="218">
        <v>1</v>
      </c>
      <c r="C56" s="223">
        <v>0</v>
      </c>
      <c r="D56" s="224">
        <v>6</v>
      </c>
      <c r="E56" s="225">
        <f t="shared" si="0"/>
        <v>0</v>
      </c>
      <c r="F56" s="455">
        <v>6</v>
      </c>
      <c r="G56" s="445">
        <f t="shared" si="1"/>
        <v>0</v>
      </c>
      <c r="H56" s="1526">
        <v>10</v>
      </c>
      <c r="I56" s="225">
        <f t="shared" si="2"/>
        <v>0</v>
      </c>
      <c r="J56" s="226">
        <v>0</v>
      </c>
      <c r="K56" s="461">
        <f t="shared" si="3"/>
        <v>0</v>
      </c>
    </row>
    <row r="57" spans="1:11" x14ac:dyDescent="0.2">
      <c r="A57" s="214" t="s">
        <v>236</v>
      </c>
      <c r="B57" s="218">
        <v>1</v>
      </c>
      <c r="C57" s="223">
        <v>0</v>
      </c>
      <c r="D57" s="224">
        <v>2</v>
      </c>
      <c r="E57" s="225">
        <f t="shared" si="0"/>
        <v>0</v>
      </c>
      <c r="F57" s="455">
        <v>1</v>
      </c>
      <c r="G57" s="445">
        <f t="shared" si="1"/>
        <v>0</v>
      </c>
      <c r="H57" s="1526">
        <v>2</v>
      </c>
      <c r="I57" s="225">
        <f t="shared" si="2"/>
        <v>0</v>
      </c>
      <c r="J57" s="226">
        <v>2</v>
      </c>
      <c r="K57" s="461">
        <f t="shared" si="3"/>
        <v>0</v>
      </c>
    </row>
    <row r="58" spans="1:11" x14ac:dyDescent="0.2">
      <c r="A58" s="214" t="s">
        <v>270</v>
      </c>
      <c r="B58" s="218">
        <v>1</v>
      </c>
      <c r="C58" s="223">
        <v>0</v>
      </c>
      <c r="D58" s="224">
        <v>3</v>
      </c>
      <c r="E58" s="225">
        <f t="shared" si="0"/>
        <v>0</v>
      </c>
      <c r="F58" s="455">
        <v>1</v>
      </c>
      <c r="G58" s="445">
        <f t="shared" si="1"/>
        <v>0</v>
      </c>
      <c r="H58" s="1526">
        <v>6</v>
      </c>
      <c r="I58" s="225">
        <f t="shared" si="2"/>
        <v>0</v>
      </c>
      <c r="J58" s="226">
        <v>2</v>
      </c>
      <c r="K58" s="461">
        <f t="shared" si="3"/>
        <v>0</v>
      </c>
    </row>
    <row r="59" spans="1:11" x14ac:dyDescent="0.2">
      <c r="A59" s="214" t="s">
        <v>271</v>
      </c>
      <c r="B59" s="218">
        <v>1</v>
      </c>
      <c r="C59" s="223">
        <v>0</v>
      </c>
      <c r="D59" s="224">
        <v>0</v>
      </c>
      <c r="E59" s="225">
        <f t="shared" si="0"/>
        <v>0</v>
      </c>
      <c r="F59" s="455">
        <v>1</v>
      </c>
      <c r="G59" s="445">
        <f t="shared" si="1"/>
        <v>0</v>
      </c>
      <c r="H59" s="1526">
        <v>20</v>
      </c>
      <c r="I59" s="225">
        <f t="shared" si="2"/>
        <v>0</v>
      </c>
      <c r="J59" s="226">
        <v>2</v>
      </c>
      <c r="K59" s="461">
        <f t="shared" si="3"/>
        <v>0</v>
      </c>
    </row>
    <row r="60" spans="1:11" x14ac:dyDescent="0.2">
      <c r="A60" s="214" t="s">
        <v>272</v>
      </c>
      <c r="B60" s="218">
        <v>2</v>
      </c>
      <c r="C60" s="223">
        <v>0</v>
      </c>
      <c r="D60" s="224">
        <v>10</v>
      </c>
      <c r="E60" s="225">
        <f t="shared" si="0"/>
        <v>0</v>
      </c>
      <c r="F60" s="455">
        <v>3</v>
      </c>
      <c r="G60" s="445">
        <f t="shared" si="1"/>
        <v>0</v>
      </c>
      <c r="H60" s="1526">
        <v>6</v>
      </c>
      <c r="I60" s="225">
        <f t="shared" si="2"/>
        <v>0</v>
      </c>
      <c r="J60" s="226">
        <v>6</v>
      </c>
      <c r="K60" s="461">
        <f t="shared" si="3"/>
        <v>0</v>
      </c>
    </row>
    <row r="61" spans="1:11" x14ac:dyDescent="0.2">
      <c r="A61" s="214" t="s">
        <v>273</v>
      </c>
      <c r="B61" s="218">
        <v>1</v>
      </c>
      <c r="C61" s="223">
        <v>0</v>
      </c>
      <c r="D61" s="224">
        <v>24</v>
      </c>
      <c r="E61" s="225">
        <f t="shared" si="0"/>
        <v>0</v>
      </c>
      <c r="F61" s="455">
        <v>0</v>
      </c>
      <c r="G61" s="445">
        <f t="shared" si="1"/>
        <v>0</v>
      </c>
      <c r="H61" s="1526">
        <v>10</v>
      </c>
      <c r="I61" s="225">
        <f t="shared" si="2"/>
        <v>0</v>
      </c>
      <c r="J61" s="226">
        <v>0</v>
      </c>
      <c r="K61" s="461">
        <f t="shared" si="3"/>
        <v>0</v>
      </c>
    </row>
    <row r="62" spans="1:11" x14ac:dyDescent="0.2">
      <c r="A62" s="214" t="s">
        <v>274</v>
      </c>
      <c r="B62" s="218">
        <v>1</v>
      </c>
      <c r="C62" s="223">
        <v>0</v>
      </c>
      <c r="D62" s="224">
        <v>1</v>
      </c>
      <c r="E62" s="225">
        <f t="shared" si="0"/>
        <v>0</v>
      </c>
      <c r="F62" s="455">
        <v>1</v>
      </c>
      <c r="G62" s="445">
        <f t="shared" si="1"/>
        <v>0</v>
      </c>
      <c r="H62" s="1526">
        <v>5</v>
      </c>
      <c r="I62" s="225">
        <f t="shared" si="2"/>
        <v>0</v>
      </c>
      <c r="J62" s="226">
        <v>0</v>
      </c>
      <c r="K62" s="461">
        <f t="shared" si="3"/>
        <v>0</v>
      </c>
    </row>
    <row r="63" spans="1:11" x14ac:dyDescent="0.2">
      <c r="A63" s="214" t="s">
        <v>275</v>
      </c>
      <c r="B63" s="218">
        <v>1</v>
      </c>
      <c r="C63" s="223">
        <v>0</v>
      </c>
      <c r="D63" s="224">
        <v>20</v>
      </c>
      <c r="E63" s="225">
        <f t="shared" si="0"/>
        <v>0</v>
      </c>
      <c r="F63" s="455">
        <v>3</v>
      </c>
      <c r="G63" s="445">
        <f t="shared" si="1"/>
        <v>0</v>
      </c>
      <c r="H63" s="1526">
        <v>8</v>
      </c>
      <c r="I63" s="225">
        <f t="shared" si="2"/>
        <v>0</v>
      </c>
      <c r="J63" s="226">
        <v>12</v>
      </c>
      <c r="K63" s="461">
        <f t="shared" si="3"/>
        <v>0</v>
      </c>
    </row>
    <row r="64" spans="1:11" x14ac:dyDescent="0.2">
      <c r="A64" s="214" t="s">
        <v>349</v>
      </c>
      <c r="B64" s="218">
        <v>1</v>
      </c>
      <c r="C64" s="223">
        <v>0</v>
      </c>
      <c r="D64" s="224">
        <v>10</v>
      </c>
      <c r="E64" s="225">
        <f t="shared" si="0"/>
        <v>0</v>
      </c>
      <c r="F64" s="455">
        <v>0</v>
      </c>
      <c r="G64" s="445">
        <f t="shared" si="1"/>
        <v>0</v>
      </c>
      <c r="H64" s="1526">
        <v>0</v>
      </c>
      <c r="I64" s="225">
        <f t="shared" si="2"/>
        <v>0</v>
      </c>
      <c r="J64" s="226">
        <v>0</v>
      </c>
      <c r="K64" s="461">
        <f t="shared" si="3"/>
        <v>0</v>
      </c>
    </row>
    <row r="65" spans="1:11" x14ac:dyDescent="0.2">
      <c r="A65" s="214" t="s">
        <v>276</v>
      </c>
      <c r="B65" s="218">
        <v>1</v>
      </c>
      <c r="C65" s="223">
        <v>0</v>
      </c>
      <c r="D65" s="224">
        <v>2</v>
      </c>
      <c r="E65" s="225">
        <f t="shared" si="0"/>
        <v>0</v>
      </c>
      <c r="F65" s="455">
        <v>0</v>
      </c>
      <c r="G65" s="445">
        <f t="shared" si="1"/>
        <v>0</v>
      </c>
      <c r="H65" s="1526">
        <v>2</v>
      </c>
      <c r="I65" s="225">
        <f t="shared" si="2"/>
        <v>0</v>
      </c>
      <c r="J65" s="226">
        <v>2</v>
      </c>
      <c r="K65" s="461">
        <f t="shared" si="3"/>
        <v>0</v>
      </c>
    </row>
    <row r="66" spans="1:11" x14ac:dyDescent="0.2">
      <c r="A66" s="214" t="s">
        <v>350</v>
      </c>
      <c r="B66" s="218">
        <v>1</v>
      </c>
      <c r="C66" s="223">
        <v>0</v>
      </c>
      <c r="D66" s="224">
        <v>2</v>
      </c>
      <c r="E66" s="225">
        <f t="shared" si="0"/>
        <v>0</v>
      </c>
      <c r="F66" s="455">
        <v>1</v>
      </c>
      <c r="G66" s="445">
        <f t="shared" si="1"/>
        <v>0</v>
      </c>
      <c r="H66" s="1526">
        <v>0</v>
      </c>
      <c r="I66" s="225">
        <f t="shared" si="2"/>
        <v>0</v>
      </c>
      <c r="J66" s="226">
        <v>2</v>
      </c>
      <c r="K66" s="461">
        <f t="shared" si="3"/>
        <v>0</v>
      </c>
    </row>
    <row r="67" spans="1:11" x14ac:dyDescent="0.2">
      <c r="A67" s="156" t="s">
        <v>351</v>
      </c>
      <c r="B67" s="155">
        <v>12</v>
      </c>
      <c r="C67" s="223">
        <v>0</v>
      </c>
      <c r="D67" s="224">
        <v>10</v>
      </c>
      <c r="E67" s="225">
        <f t="shared" si="0"/>
        <v>0</v>
      </c>
      <c r="F67" s="455">
        <v>0</v>
      </c>
      <c r="G67" s="445">
        <f t="shared" si="1"/>
        <v>0</v>
      </c>
      <c r="H67" s="1526">
        <v>0</v>
      </c>
      <c r="I67" s="225">
        <f t="shared" si="2"/>
        <v>0</v>
      </c>
      <c r="J67" s="226">
        <v>0</v>
      </c>
      <c r="K67" s="461">
        <f t="shared" si="3"/>
        <v>0</v>
      </c>
    </row>
    <row r="68" spans="1:11" ht="13.5" thickBot="1" x14ac:dyDescent="0.25">
      <c r="A68" s="235" t="s">
        <v>352</v>
      </c>
      <c r="B68" s="236">
        <v>24</v>
      </c>
      <c r="C68" s="223">
        <v>0</v>
      </c>
      <c r="D68" s="237">
        <v>0</v>
      </c>
      <c r="E68" s="238">
        <f t="shared" si="0"/>
        <v>0</v>
      </c>
      <c r="F68" s="456">
        <v>0</v>
      </c>
      <c r="G68" s="445">
        <f t="shared" si="1"/>
        <v>0</v>
      </c>
      <c r="H68" s="1526">
        <v>10</v>
      </c>
      <c r="I68" s="238">
        <f t="shared" si="2"/>
        <v>0</v>
      </c>
      <c r="J68" s="239">
        <v>2</v>
      </c>
      <c r="K68" s="462">
        <f t="shared" si="3"/>
        <v>0</v>
      </c>
    </row>
    <row r="69" spans="1:11" ht="13.5" thickBot="1" x14ac:dyDescent="0.25">
      <c r="A69" s="818" t="s">
        <v>316</v>
      </c>
      <c r="B69" s="819"/>
      <c r="C69" s="819"/>
      <c r="D69" s="233"/>
      <c r="E69" s="361">
        <f>SUM(E6:E68)</f>
        <v>0</v>
      </c>
      <c r="F69" s="442"/>
      <c r="G69" s="447">
        <f>SUM(G6:G68)</f>
        <v>0</v>
      </c>
      <c r="H69" s="233"/>
      <c r="I69" s="361">
        <f>SUM(I6:I68)</f>
        <v>0</v>
      </c>
      <c r="J69" s="234"/>
      <c r="K69" s="362">
        <f>SUM(K6:K68)</f>
        <v>0</v>
      </c>
    </row>
    <row r="70" spans="1:11" ht="13.5" thickBot="1" x14ac:dyDescent="0.25">
      <c r="A70" s="820"/>
      <c r="B70" s="821"/>
      <c r="C70" s="821"/>
      <c r="D70" s="821"/>
      <c r="E70" s="821"/>
      <c r="F70" s="822"/>
      <c r="G70" s="822"/>
      <c r="H70" s="821"/>
      <c r="I70" s="821"/>
      <c r="J70" s="821"/>
      <c r="K70" s="823"/>
    </row>
    <row r="71" spans="1:11" ht="12.75" customHeight="1" x14ac:dyDescent="0.2">
      <c r="A71" s="808" t="s">
        <v>391</v>
      </c>
      <c r="B71" s="837" t="str">
        <f>B4</f>
        <v>Periodicidade / Meses</v>
      </c>
      <c r="C71" s="839" t="str">
        <f>C4</f>
        <v xml:space="preserve">Valor Unitário </v>
      </c>
      <c r="D71" s="804" t="str">
        <f>D4</f>
        <v>CEARB</v>
      </c>
      <c r="E71" s="805"/>
      <c r="F71" s="841" t="str">
        <f>F4</f>
        <v>CEMAR</v>
      </c>
      <c r="G71" s="842"/>
      <c r="H71" s="804" t="str">
        <f>H4</f>
        <v>CEPRE</v>
      </c>
      <c r="I71" s="805"/>
      <c r="J71" s="806" t="str">
        <f>J4</f>
        <v>CESJR</v>
      </c>
      <c r="K71" s="805"/>
    </row>
    <row r="72" spans="1:11" ht="12.75" customHeight="1" thickBot="1" x14ac:dyDescent="0.25">
      <c r="A72" s="845"/>
      <c r="B72" s="838"/>
      <c r="C72" s="840"/>
      <c r="D72" s="213" t="str">
        <f>D5</f>
        <v>Quantidade</v>
      </c>
      <c r="E72" s="212" t="str">
        <f>E5</f>
        <v>Valor</v>
      </c>
      <c r="F72" s="213" t="str">
        <f>F5</f>
        <v>Quantidade</v>
      </c>
      <c r="G72" s="212" t="str">
        <f>G5</f>
        <v>Valor</v>
      </c>
      <c r="H72" s="213" t="str">
        <f>H5</f>
        <v>Quantidade</v>
      </c>
      <c r="I72" s="212" t="str">
        <f>I5</f>
        <v>Valor</v>
      </c>
      <c r="J72" s="217" t="str">
        <f>J5</f>
        <v>Quantidade</v>
      </c>
      <c r="K72" s="212" t="str">
        <f>K5</f>
        <v>Valor</v>
      </c>
    </row>
    <row r="73" spans="1:11" x14ac:dyDescent="0.2">
      <c r="A73" s="215" t="s">
        <v>277</v>
      </c>
      <c r="B73" s="216">
        <v>24</v>
      </c>
      <c r="C73" s="223">
        <v>0</v>
      </c>
      <c r="D73" s="397">
        <v>2</v>
      </c>
      <c r="E73" s="464">
        <f>ROUND((C73*D73)/B73,2)</f>
        <v>0</v>
      </c>
      <c r="F73" s="451">
        <v>3</v>
      </c>
      <c r="G73" s="430">
        <f>ROUND((C73*F73)/B73,2)</f>
        <v>0</v>
      </c>
      <c r="H73" s="397">
        <v>6</v>
      </c>
      <c r="I73" s="465">
        <f t="shared" ref="I73:I93" si="4">ROUND((C73*H73)/B73,2)</f>
        <v>0</v>
      </c>
      <c r="J73" s="397">
        <v>2</v>
      </c>
      <c r="K73" s="463">
        <f t="shared" ref="K73:K93" si="5">ROUND((C73*J73)/B73,2)</f>
        <v>0</v>
      </c>
    </row>
    <row r="74" spans="1:11" x14ac:dyDescent="0.2">
      <c r="A74" s="215" t="s">
        <v>354</v>
      </c>
      <c r="B74" s="216">
        <v>24</v>
      </c>
      <c r="C74" s="223">
        <v>0</v>
      </c>
      <c r="D74" s="397">
        <v>0</v>
      </c>
      <c r="E74" s="465">
        <f t="shared" ref="E74:E93" si="6">ROUND((C74*D74)/B74,2)</f>
        <v>0</v>
      </c>
      <c r="F74" s="452">
        <v>2</v>
      </c>
      <c r="G74" s="463">
        <f>ROUND((C74*F74)/B74,2)</f>
        <v>0</v>
      </c>
      <c r="H74" s="397">
        <v>0</v>
      </c>
      <c r="I74" s="465">
        <f t="shared" si="4"/>
        <v>0</v>
      </c>
      <c r="J74" s="397">
        <v>2</v>
      </c>
      <c r="K74" s="463">
        <f t="shared" si="5"/>
        <v>0</v>
      </c>
    </row>
    <row r="75" spans="1:11" x14ac:dyDescent="0.2">
      <c r="A75" s="215" t="s">
        <v>355</v>
      </c>
      <c r="B75" s="216">
        <v>12</v>
      </c>
      <c r="C75" s="223">
        <v>0</v>
      </c>
      <c r="D75" s="397">
        <v>1</v>
      </c>
      <c r="E75" s="465">
        <f t="shared" si="6"/>
        <v>0</v>
      </c>
      <c r="F75" s="452">
        <v>1</v>
      </c>
      <c r="G75" s="463">
        <f t="shared" ref="G75:G93" si="7">ROUND((C75*F75)/B75,2)</f>
        <v>0</v>
      </c>
      <c r="H75" s="397">
        <v>1</v>
      </c>
      <c r="I75" s="465">
        <f t="shared" si="4"/>
        <v>0</v>
      </c>
      <c r="J75" s="397">
        <v>1</v>
      </c>
      <c r="K75" s="463">
        <f t="shared" si="5"/>
        <v>0</v>
      </c>
    </row>
    <row r="76" spans="1:11" x14ac:dyDescent="0.2">
      <c r="A76" s="215" t="s">
        <v>455</v>
      </c>
      <c r="B76" s="216">
        <v>24</v>
      </c>
      <c r="C76" s="223">
        <v>0</v>
      </c>
      <c r="D76" s="397">
        <v>1</v>
      </c>
      <c r="E76" s="465">
        <f t="shared" si="6"/>
        <v>0</v>
      </c>
      <c r="F76" s="452">
        <v>1</v>
      </c>
      <c r="G76" s="463">
        <f t="shared" si="7"/>
        <v>0</v>
      </c>
      <c r="H76" s="397">
        <v>2</v>
      </c>
      <c r="I76" s="465">
        <f t="shared" si="4"/>
        <v>0</v>
      </c>
      <c r="J76" s="397">
        <v>2</v>
      </c>
      <c r="K76" s="463">
        <f t="shared" si="5"/>
        <v>0</v>
      </c>
    </row>
    <row r="77" spans="1:11" x14ac:dyDescent="0.2">
      <c r="A77" s="215" t="s">
        <v>278</v>
      </c>
      <c r="B77" s="216">
        <v>24</v>
      </c>
      <c r="C77" s="223">
        <v>0</v>
      </c>
      <c r="D77" s="397">
        <v>1</v>
      </c>
      <c r="E77" s="465">
        <f t="shared" si="6"/>
        <v>0</v>
      </c>
      <c r="F77" s="452">
        <v>1</v>
      </c>
      <c r="G77" s="463">
        <f t="shared" si="7"/>
        <v>0</v>
      </c>
      <c r="H77" s="397">
        <v>1</v>
      </c>
      <c r="I77" s="465">
        <f t="shared" si="4"/>
        <v>0</v>
      </c>
      <c r="J77" s="397">
        <v>2</v>
      </c>
      <c r="K77" s="463">
        <f t="shared" si="5"/>
        <v>0</v>
      </c>
    </row>
    <row r="78" spans="1:11" x14ac:dyDescent="0.2">
      <c r="A78" s="215" t="s">
        <v>356</v>
      </c>
      <c r="B78" s="216">
        <v>60</v>
      </c>
      <c r="C78" s="223">
        <v>0</v>
      </c>
      <c r="D78" s="397">
        <v>0</v>
      </c>
      <c r="E78" s="465">
        <f t="shared" si="6"/>
        <v>0</v>
      </c>
      <c r="F78" s="452">
        <v>0</v>
      </c>
      <c r="G78" s="463">
        <f t="shared" si="7"/>
        <v>0</v>
      </c>
      <c r="H78" s="397">
        <v>1</v>
      </c>
      <c r="I78" s="465">
        <f t="shared" si="4"/>
        <v>0</v>
      </c>
      <c r="J78" s="397">
        <v>0</v>
      </c>
      <c r="K78" s="463">
        <f t="shared" si="5"/>
        <v>0</v>
      </c>
    </row>
    <row r="79" spans="1:11" x14ac:dyDescent="0.2">
      <c r="A79" s="215" t="s">
        <v>357</v>
      </c>
      <c r="B79" s="216">
        <v>60</v>
      </c>
      <c r="C79" s="223">
        <v>0</v>
      </c>
      <c r="D79" s="397">
        <v>3</v>
      </c>
      <c r="E79" s="465">
        <f t="shared" si="6"/>
        <v>0</v>
      </c>
      <c r="F79" s="452">
        <v>0</v>
      </c>
      <c r="G79" s="463">
        <f t="shared" si="7"/>
        <v>0</v>
      </c>
      <c r="H79" s="397">
        <v>0</v>
      </c>
      <c r="I79" s="465">
        <f t="shared" si="4"/>
        <v>0</v>
      </c>
      <c r="J79" s="397">
        <v>0</v>
      </c>
      <c r="K79" s="463">
        <f t="shared" si="5"/>
        <v>0</v>
      </c>
    </row>
    <row r="80" spans="1:11" ht="25.5" x14ac:dyDescent="0.2">
      <c r="A80" s="396" t="s">
        <v>358</v>
      </c>
      <c r="B80" s="216">
        <v>60</v>
      </c>
      <c r="C80" s="223">
        <v>0</v>
      </c>
      <c r="D80" s="397">
        <v>3</v>
      </c>
      <c r="E80" s="465">
        <f t="shared" si="6"/>
        <v>0</v>
      </c>
      <c r="F80" s="452">
        <v>1</v>
      </c>
      <c r="G80" s="463">
        <f t="shared" si="7"/>
        <v>0</v>
      </c>
      <c r="H80" s="397">
        <v>1</v>
      </c>
      <c r="I80" s="465">
        <f t="shared" si="4"/>
        <v>0</v>
      </c>
      <c r="J80" s="397">
        <v>0</v>
      </c>
      <c r="K80" s="463">
        <f t="shared" si="5"/>
        <v>0</v>
      </c>
    </row>
    <row r="81" spans="1:11" x14ac:dyDescent="0.2">
      <c r="A81" s="215" t="s">
        <v>279</v>
      </c>
      <c r="B81" s="216">
        <v>24</v>
      </c>
      <c r="C81" s="223">
        <v>0</v>
      </c>
      <c r="D81" s="397">
        <v>0</v>
      </c>
      <c r="E81" s="465">
        <f t="shared" si="6"/>
        <v>0</v>
      </c>
      <c r="F81" s="452">
        <v>1</v>
      </c>
      <c r="G81" s="463">
        <f t="shared" si="7"/>
        <v>0</v>
      </c>
      <c r="H81" s="397">
        <v>1</v>
      </c>
      <c r="I81" s="465">
        <f t="shared" si="4"/>
        <v>0</v>
      </c>
      <c r="J81" s="397">
        <v>2</v>
      </c>
      <c r="K81" s="463">
        <f t="shared" si="5"/>
        <v>0</v>
      </c>
    </row>
    <row r="82" spans="1:11" x14ac:dyDescent="0.2">
      <c r="A82" s="215" t="s">
        <v>280</v>
      </c>
      <c r="B82" s="216">
        <v>36</v>
      </c>
      <c r="C82" s="223">
        <v>0</v>
      </c>
      <c r="D82" s="397">
        <v>0</v>
      </c>
      <c r="E82" s="465">
        <f t="shared" si="6"/>
        <v>0</v>
      </c>
      <c r="F82" s="452">
        <v>1</v>
      </c>
      <c r="G82" s="463">
        <f t="shared" si="7"/>
        <v>0</v>
      </c>
      <c r="H82" s="397">
        <v>2</v>
      </c>
      <c r="I82" s="465">
        <f t="shared" si="4"/>
        <v>0</v>
      </c>
      <c r="J82" s="397">
        <v>2</v>
      </c>
      <c r="K82" s="463">
        <f t="shared" si="5"/>
        <v>0</v>
      </c>
    </row>
    <row r="83" spans="1:11" x14ac:dyDescent="0.2">
      <c r="A83" s="215" t="s">
        <v>359</v>
      </c>
      <c r="B83" s="216">
        <v>36</v>
      </c>
      <c r="C83" s="223">
        <v>0</v>
      </c>
      <c r="D83" s="397">
        <v>1</v>
      </c>
      <c r="E83" s="465">
        <f t="shared" si="6"/>
        <v>0</v>
      </c>
      <c r="F83" s="452">
        <v>1</v>
      </c>
      <c r="G83" s="463">
        <f t="shared" si="7"/>
        <v>0</v>
      </c>
      <c r="H83" s="397">
        <v>2</v>
      </c>
      <c r="I83" s="465">
        <f t="shared" si="4"/>
        <v>0</v>
      </c>
      <c r="J83" s="397">
        <v>1</v>
      </c>
      <c r="K83" s="463">
        <f t="shared" si="5"/>
        <v>0</v>
      </c>
    </row>
    <row r="84" spans="1:11" x14ac:dyDescent="0.2">
      <c r="A84" s="215" t="s">
        <v>338</v>
      </c>
      <c r="B84" s="216">
        <v>36</v>
      </c>
      <c r="C84" s="223">
        <v>0</v>
      </c>
      <c r="D84" s="397">
        <v>0</v>
      </c>
      <c r="E84" s="465">
        <f t="shared" si="6"/>
        <v>0</v>
      </c>
      <c r="F84" s="452">
        <v>2</v>
      </c>
      <c r="G84" s="463">
        <f t="shared" si="7"/>
        <v>0</v>
      </c>
      <c r="H84" s="397">
        <v>2</v>
      </c>
      <c r="I84" s="465">
        <f t="shared" si="4"/>
        <v>0</v>
      </c>
      <c r="J84" s="397">
        <v>0</v>
      </c>
      <c r="K84" s="463">
        <f t="shared" si="5"/>
        <v>0</v>
      </c>
    </row>
    <row r="85" spans="1:11" x14ac:dyDescent="0.2">
      <c r="A85" s="215" t="s">
        <v>360</v>
      </c>
      <c r="B85" s="216">
        <v>36</v>
      </c>
      <c r="C85" s="223">
        <v>0</v>
      </c>
      <c r="D85" s="397">
        <v>1</v>
      </c>
      <c r="E85" s="465">
        <f t="shared" si="6"/>
        <v>0</v>
      </c>
      <c r="F85" s="452">
        <v>0</v>
      </c>
      <c r="G85" s="463">
        <f t="shared" si="7"/>
        <v>0</v>
      </c>
      <c r="H85" s="397">
        <v>0</v>
      </c>
      <c r="I85" s="465">
        <f t="shared" si="4"/>
        <v>0</v>
      </c>
      <c r="J85" s="397">
        <v>0</v>
      </c>
      <c r="K85" s="463">
        <f t="shared" si="5"/>
        <v>0</v>
      </c>
    </row>
    <row r="86" spans="1:11" x14ac:dyDescent="0.2">
      <c r="A86" s="215" t="s">
        <v>281</v>
      </c>
      <c r="B86" s="216">
        <v>36</v>
      </c>
      <c r="C86" s="223">
        <v>0</v>
      </c>
      <c r="D86" s="397">
        <v>0</v>
      </c>
      <c r="E86" s="465">
        <f t="shared" si="6"/>
        <v>0</v>
      </c>
      <c r="F86" s="452">
        <v>2</v>
      </c>
      <c r="G86" s="463">
        <f t="shared" si="7"/>
        <v>0</v>
      </c>
      <c r="H86" s="397">
        <v>0</v>
      </c>
      <c r="I86" s="465">
        <f t="shared" si="4"/>
        <v>0</v>
      </c>
      <c r="J86" s="397">
        <v>2</v>
      </c>
      <c r="K86" s="463">
        <f t="shared" si="5"/>
        <v>0</v>
      </c>
    </row>
    <row r="87" spans="1:11" x14ac:dyDescent="0.2">
      <c r="A87" s="215" t="s">
        <v>282</v>
      </c>
      <c r="B87" s="216">
        <v>12</v>
      </c>
      <c r="C87" s="223">
        <v>0</v>
      </c>
      <c r="D87" s="397">
        <v>1</v>
      </c>
      <c r="E87" s="465">
        <f t="shared" si="6"/>
        <v>0</v>
      </c>
      <c r="F87" s="452">
        <v>1</v>
      </c>
      <c r="G87" s="463">
        <f t="shared" si="7"/>
        <v>0</v>
      </c>
      <c r="H87" s="397">
        <v>1</v>
      </c>
      <c r="I87" s="465">
        <f t="shared" si="4"/>
        <v>0</v>
      </c>
      <c r="J87" s="397">
        <v>2</v>
      </c>
      <c r="K87" s="463">
        <f t="shared" si="5"/>
        <v>0</v>
      </c>
    </row>
    <row r="88" spans="1:11" x14ac:dyDescent="0.2">
      <c r="A88" s="215" t="s">
        <v>361</v>
      </c>
      <c r="B88" s="216">
        <v>12</v>
      </c>
      <c r="C88" s="223">
        <v>0</v>
      </c>
      <c r="D88" s="397">
        <v>0</v>
      </c>
      <c r="E88" s="465">
        <f t="shared" si="6"/>
        <v>0</v>
      </c>
      <c r="F88" s="452">
        <v>1</v>
      </c>
      <c r="G88" s="463">
        <f t="shared" si="7"/>
        <v>0</v>
      </c>
      <c r="H88" s="397">
        <v>1</v>
      </c>
      <c r="I88" s="465">
        <f t="shared" si="4"/>
        <v>0</v>
      </c>
      <c r="J88" s="397">
        <v>2</v>
      </c>
      <c r="K88" s="463">
        <f t="shared" si="5"/>
        <v>0</v>
      </c>
    </row>
    <row r="89" spans="1:11" x14ac:dyDescent="0.2">
      <c r="A89" s="215" t="s">
        <v>315</v>
      </c>
      <c r="B89" s="216">
        <v>24</v>
      </c>
      <c r="C89" s="223">
        <v>0</v>
      </c>
      <c r="D89" s="397">
        <v>1</v>
      </c>
      <c r="E89" s="465">
        <f t="shared" si="6"/>
        <v>0</v>
      </c>
      <c r="F89" s="452">
        <v>1</v>
      </c>
      <c r="G89" s="463">
        <f t="shared" si="7"/>
        <v>0</v>
      </c>
      <c r="H89" s="397">
        <v>1</v>
      </c>
      <c r="I89" s="465">
        <f t="shared" si="4"/>
        <v>0</v>
      </c>
      <c r="J89" s="397">
        <v>2</v>
      </c>
      <c r="K89" s="463">
        <f t="shared" si="5"/>
        <v>0</v>
      </c>
    </row>
    <row r="90" spans="1:11" x14ac:dyDescent="0.2">
      <c r="A90" s="215" t="s">
        <v>283</v>
      </c>
      <c r="B90" s="216">
        <v>24</v>
      </c>
      <c r="C90" s="223">
        <v>0</v>
      </c>
      <c r="D90" s="397">
        <v>1</v>
      </c>
      <c r="E90" s="465">
        <f t="shared" si="6"/>
        <v>0</v>
      </c>
      <c r="F90" s="452">
        <v>1</v>
      </c>
      <c r="G90" s="463">
        <f t="shared" si="7"/>
        <v>0</v>
      </c>
      <c r="H90" s="397">
        <v>1</v>
      </c>
      <c r="I90" s="465">
        <f t="shared" si="4"/>
        <v>0</v>
      </c>
      <c r="J90" s="397">
        <v>2</v>
      </c>
      <c r="K90" s="463">
        <f t="shared" si="5"/>
        <v>0</v>
      </c>
    </row>
    <row r="91" spans="1:11" x14ac:dyDescent="0.2">
      <c r="A91" s="215" t="s">
        <v>362</v>
      </c>
      <c r="B91" s="216">
        <v>24</v>
      </c>
      <c r="C91" s="223">
        <v>0</v>
      </c>
      <c r="D91" s="397">
        <v>1</v>
      </c>
      <c r="E91" s="465">
        <f t="shared" si="6"/>
        <v>0</v>
      </c>
      <c r="F91" s="452">
        <v>1</v>
      </c>
      <c r="G91" s="463">
        <f t="shared" si="7"/>
        <v>0</v>
      </c>
      <c r="H91" s="397">
        <v>1</v>
      </c>
      <c r="I91" s="465">
        <f t="shared" si="4"/>
        <v>0</v>
      </c>
      <c r="J91" s="397">
        <v>2</v>
      </c>
      <c r="K91" s="463">
        <f t="shared" si="5"/>
        <v>0</v>
      </c>
    </row>
    <row r="92" spans="1:11" x14ac:dyDescent="0.2">
      <c r="A92" s="215" t="s">
        <v>284</v>
      </c>
      <c r="B92" s="216">
        <v>12</v>
      </c>
      <c r="C92" s="223">
        <v>0</v>
      </c>
      <c r="D92" s="397">
        <v>1</v>
      </c>
      <c r="E92" s="465">
        <f t="shared" si="6"/>
        <v>0</v>
      </c>
      <c r="F92" s="452">
        <v>0</v>
      </c>
      <c r="G92" s="463">
        <f t="shared" si="7"/>
        <v>0</v>
      </c>
      <c r="H92" s="397">
        <v>0</v>
      </c>
      <c r="I92" s="465">
        <f t="shared" si="4"/>
        <v>0</v>
      </c>
      <c r="J92" s="397">
        <v>1</v>
      </c>
      <c r="K92" s="463">
        <f t="shared" si="5"/>
        <v>0</v>
      </c>
    </row>
    <row r="93" spans="1:11" ht="13.5" thickBot="1" x14ac:dyDescent="0.25">
      <c r="A93" s="231" t="s">
        <v>363</v>
      </c>
      <c r="B93" s="232">
        <v>12</v>
      </c>
      <c r="C93" s="223">
        <v>0</v>
      </c>
      <c r="D93" s="397">
        <v>0</v>
      </c>
      <c r="E93" s="465">
        <f t="shared" si="6"/>
        <v>0</v>
      </c>
      <c r="F93" s="453">
        <v>0</v>
      </c>
      <c r="G93" s="463">
        <f t="shared" si="7"/>
        <v>0</v>
      </c>
      <c r="H93" s="397">
        <v>1</v>
      </c>
      <c r="I93" s="465">
        <f t="shared" si="4"/>
        <v>0</v>
      </c>
      <c r="J93" s="397">
        <v>0</v>
      </c>
      <c r="K93" s="463">
        <f t="shared" si="5"/>
        <v>0</v>
      </c>
    </row>
    <row r="94" spans="1:11" ht="13.5" thickBot="1" x14ac:dyDescent="0.25">
      <c r="A94" s="818" t="s">
        <v>225</v>
      </c>
      <c r="B94" s="843"/>
      <c r="C94" s="844"/>
      <c r="D94" s="233"/>
      <c r="E94" s="240">
        <f>SUM(E73:E93)</f>
        <v>0</v>
      </c>
      <c r="F94" s="442"/>
      <c r="G94" s="240">
        <f>SUM(G73:G93)</f>
        <v>0</v>
      </c>
      <c r="H94" s="233"/>
      <c r="I94" s="240">
        <f>SUM(I73:I93)</f>
        <v>0</v>
      </c>
      <c r="J94" s="234"/>
      <c r="K94" s="241">
        <f>SUM(K73:K93)</f>
        <v>0</v>
      </c>
    </row>
    <row r="95" spans="1:11" ht="13.5" thickBot="1" x14ac:dyDescent="0.25">
      <c r="A95" s="820"/>
      <c r="B95" s="821"/>
      <c r="C95" s="821"/>
      <c r="D95" s="821"/>
      <c r="E95" s="821"/>
      <c r="F95" s="822"/>
      <c r="G95" s="822"/>
      <c r="H95" s="821"/>
      <c r="I95" s="821"/>
      <c r="J95" s="821"/>
      <c r="K95" s="823"/>
    </row>
    <row r="96" spans="1:11" x14ac:dyDescent="0.2">
      <c r="A96" s="808" t="s">
        <v>226</v>
      </c>
      <c r="B96" s="837" t="str">
        <f>B71</f>
        <v>Periodicidade / Meses</v>
      </c>
      <c r="C96" s="812" t="str">
        <f>C71</f>
        <v xml:space="preserve">Valor Unitário </v>
      </c>
      <c r="D96" s="804" t="str">
        <f>D71</f>
        <v>CEARB</v>
      </c>
      <c r="E96" s="805"/>
      <c r="F96" s="841" t="str">
        <f>F71</f>
        <v>CEMAR</v>
      </c>
      <c r="G96" s="842"/>
      <c r="H96" s="804" t="str">
        <f>H71</f>
        <v>CEPRE</v>
      </c>
      <c r="I96" s="805"/>
      <c r="J96" s="806" t="str">
        <f>J71</f>
        <v>CESJR</v>
      </c>
      <c r="K96" s="805"/>
    </row>
    <row r="97" spans="1:11" ht="12.75" customHeight="1" thickBot="1" x14ac:dyDescent="0.25">
      <c r="A97" s="845"/>
      <c r="B97" s="838"/>
      <c r="C97" s="850"/>
      <c r="D97" s="213" t="str">
        <f>D72</f>
        <v>Quantidade</v>
      </c>
      <c r="E97" s="336" t="str">
        <f>E72</f>
        <v>Valor</v>
      </c>
      <c r="F97" s="213" t="str">
        <f>F72</f>
        <v>Quantidade</v>
      </c>
      <c r="G97" s="403" t="str">
        <f>G72</f>
        <v>Valor</v>
      </c>
      <c r="H97" s="213" t="str">
        <f>H72</f>
        <v>Quantidade</v>
      </c>
      <c r="I97" s="336" t="str">
        <f>I72</f>
        <v>Valor</v>
      </c>
      <c r="J97" s="217" t="str">
        <f>J72</f>
        <v>Quantidade</v>
      </c>
      <c r="K97" s="212" t="str">
        <f>K72</f>
        <v>Valor</v>
      </c>
    </row>
    <row r="98" spans="1:11" ht="25.5" x14ac:dyDescent="0.2">
      <c r="A98" s="398" t="s">
        <v>364</v>
      </c>
      <c r="B98" s="247">
        <v>6</v>
      </c>
      <c r="C98" s="223">
        <v>0</v>
      </c>
      <c r="D98" s="263">
        <v>6</v>
      </c>
      <c r="E98" s="250">
        <f>ROUND((C98*D98)/B98,2)</f>
        <v>0</v>
      </c>
      <c r="F98" s="559">
        <v>6</v>
      </c>
      <c r="G98" s="449">
        <f>ROUND((C98*F98)/B98,2)</f>
        <v>0</v>
      </c>
      <c r="H98" s="253">
        <v>6</v>
      </c>
      <c r="I98" s="250">
        <f>ROUND((C98*H98)/B98,2)</f>
        <v>0</v>
      </c>
      <c r="J98" s="244">
        <v>2</v>
      </c>
      <c r="K98" s="250">
        <f>ROUND((C98*J98)/B98,2)</f>
        <v>0</v>
      </c>
    </row>
    <row r="99" spans="1:11" x14ac:dyDescent="0.2">
      <c r="A99" s="162" t="s">
        <v>365</v>
      </c>
      <c r="B99" s="248">
        <v>36</v>
      </c>
      <c r="C99" s="223">
        <v>0</v>
      </c>
      <c r="D99" s="263">
        <v>1</v>
      </c>
      <c r="E99" s="251">
        <f>ROUND((C99*D99)/B99,2)</f>
        <v>0</v>
      </c>
      <c r="F99" s="468">
        <v>1</v>
      </c>
      <c r="G99" s="450">
        <f>ROUND((C99*F99)/B99,2)</f>
        <v>0</v>
      </c>
      <c r="H99" s="254">
        <v>1</v>
      </c>
      <c r="I99" s="251">
        <f>ROUND((C99*H99)/B99,2)</f>
        <v>0</v>
      </c>
      <c r="J99" s="245">
        <v>1</v>
      </c>
      <c r="K99" s="250">
        <f t="shared" ref="K99:K102" si="8">ROUND((C99*J99)/B99,2)</f>
        <v>0</v>
      </c>
    </row>
    <row r="100" spans="1:11" x14ac:dyDescent="0.2">
      <c r="A100" s="162" t="s">
        <v>366</v>
      </c>
      <c r="B100" s="248">
        <v>36</v>
      </c>
      <c r="C100" s="223">
        <v>0</v>
      </c>
      <c r="D100" s="263">
        <v>1</v>
      </c>
      <c r="E100" s="251">
        <f>ROUND((C100*D100)/B100,2)</f>
        <v>0</v>
      </c>
      <c r="F100" s="468">
        <v>1</v>
      </c>
      <c r="G100" s="450">
        <f t="shared" ref="G100:G102" si="9">ROUND((C100*F100)/B100,2)</f>
        <v>0</v>
      </c>
      <c r="H100" s="254">
        <v>1</v>
      </c>
      <c r="I100" s="251">
        <f>ROUND((C100*H100)/B100,2)</f>
        <v>0</v>
      </c>
      <c r="J100" s="245">
        <v>1</v>
      </c>
      <c r="K100" s="250">
        <f t="shared" si="8"/>
        <v>0</v>
      </c>
    </row>
    <row r="101" spans="1:11" x14ac:dyDescent="0.2">
      <c r="A101" s="162" t="s">
        <v>285</v>
      </c>
      <c r="B101" s="249">
        <v>12</v>
      </c>
      <c r="C101" s="223">
        <v>0</v>
      </c>
      <c r="D101" s="263">
        <v>1</v>
      </c>
      <c r="E101" s="251">
        <f>ROUND((C101*D101)/B101,2)</f>
        <v>0</v>
      </c>
      <c r="F101" s="468">
        <v>1</v>
      </c>
      <c r="G101" s="450">
        <f t="shared" si="9"/>
        <v>0</v>
      </c>
      <c r="H101" s="254">
        <v>1</v>
      </c>
      <c r="I101" s="251">
        <f>ROUND((C101*H101)/B101,2)</f>
        <v>0</v>
      </c>
      <c r="J101" s="245">
        <v>2</v>
      </c>
      <c r="K101" s="250">
        <f t="shared" si="8"/>
        <v>0</v>
      </c>
    </row>
    <row r="102" spans="1:11" x14ac:dyDescent="0.2">
      <c r="A102" s="162" t="s">
        <v>286</v>
      </c>
      <c r="B102" s="249">
        <v>12</v>
      </c>
      <c r="C102" s="223">
        <v>0</v>
      </c>
      <c r="D102" s="263">
        <v>1</v>
      </c>
      <c r="E102" s="251">
        <f>ROUND((C102*D102)/B102,2)</f>
        <v>0</v>
      </c>
      <c r="F102" s="468">
        <v>1</v>
      </c>
      <c r="G102" s="450">
        <f t="shared" si="9"/>
        <v>0</v>
      </c>
      <c r="H102" s="254">
        <v>1</v>
      </c>
      <c r="I102" s="251">
        <f>ROUND((C102*H102)/B102,2)</f>
        <v>0</v>
      </c>
      <c r="J102" s="245">
        <v>2</v>
      </c>
      <c r="K102" s="250">
        <f t="shared" si="8"/>
        <v>0</v>
      </c>
    </row>
    <row r="103" spans="1:11" ht="13.5" thickBot="1" x14ac:dyDescent="0.25">
      <c r="A103" s="816" t="s">
        <v>229</v>
      </c>
      <c r="B103" s="846"/>
      <c r="C103" s="847"/>
      <c r="D103" s="243"/>
      <c r="E103" s="252">
        <f>SUM(E98:E102)</f>
        <v>0</v>
      </c>
      <c r="F103" s="443"/>
      <c r="G103" s="443">
        <f>SUM(G98:G102)</f>
        <v>0</v>
      </c>
      <c r="H103" s="243"/>
      <c r="I103" s="252">
        <f>SUM(I98:I102)</f>
        <v>0</v>
      </c>
      <c r="J103" s="246"/>
      <c r="K103" s="255">
        <f>SUM(K98:K102)</f>
        <v>0</v>
      </c>
    </row>
    <row r="104" spans="1:11" ht="12.75" customHeight="1" thickBot="1" x14ac:dyDescent="0.25">
      <c r="A104" s="848"/>
      <c r="B104" s="822"/>
      <c r="C104" s="822"/>
      <c r="D104" s="822"/>
      <c r="E104" s="822"/>
      <c r="F104" s="822"/>
      <c r="G104" s="822"/>
      <c r="H104" s="822"/>
      <c r="I104" s="822"/>
      <c r="J104" s="822"/>
      <c r="K104" s="849"/>
    </row>
    <row r="105" spans="1:11" ht="13.5" customHeight="1" x14ac:dyDescent="0.2">
      <c r="A105" s="808" t="s">
        <v>460</v>
      </c>
      <c r="B105" s="810" t="s">
        <v>228</v>
      </c>
      <c r="C105" s="812" t="s">
        <v>426</v>
      </c>
      <c r="D105" s="814" t="str">
        <f>D96</f>
        <v>CEARB</v>
      </c>
      <c r="E105" s="815"/>
      <c r="F105" s="841" t="str">
        <f>F96</f>
        <v>CEMAR</v>
      </c>
      <c r="G105" s="842"/>
      <c r="H105" s="804" t="str">
        <f>H96</f>
        <v>CEPRE</v>
      </c>
      <c r="I105" s="805"/>
      <c r="J105" s="806" t="str">
        <f>J96</f>
        <v>CESJR</v>
      </c>
      <c r="K105" s="807"/>
    </row>
    <row r="106" spans="1:11" ht="12.75" customHeight="1" thickBot="1" x14ac:dyDescent="0.25">
      <c r="A106" s="809"/>
      <c r="B106" s="811"/>
      <c r="C106" s="813"/>
      <c r="D106" s="259" t="str">
        <f>D97</f>
        <v>Quantidade</v>
      </c>
      <c r="E106" s="399" t="str">
        <f>E97</f>
        <v>Valor</v>
      </c>
      <c r="F106" s="259" t="str">
        <f>F97</f>
        <v>Quantidade</v>
      </c>
      <c r="G106" s="402" t="str">
        <f>G97</f>
        <v>Valor</v>
      </c>
      <c r="H106" s="256" t="str">
        <f>H97</f>
        <v>Quantidade</v>
      </c>
      <c r="I106" s="257" t="str">
        <f>I97</f>
        <v>Valor</v>
      </c>
      <c r="J106" s="258" t="str">
        <f>J97</f>
        <v>Quantidade</v>
      </c>
      <c r="K106" s="157" t="str">
        <f>K97</f>
        <v>Valor</v>
      </c>
    </row>
    <row r="107" spans="1:11" ht="76.5" x14ac:dyDescent="0.2">
      <c r="A107" s="427" t="s">
        <v>456</v>
      </c>
      <c r="B107" s="412">
        <v>0.1</v>
      </c>
      <c r="C107" s="414">
        <v>0</v>
      </c>
      <c r="D107" s="411">
        <v>0</v>
      </c>
      <c r="E107" s="416">
        <f>ROUND(((C107*B107)*D107)/12,2)</f>
        <v>0</v>
      </c>
      <c r="F107" s="457">
        <v>0</v>
      </c>
      <c r="G107" s="416">
        <f>ROUND(((C107*F107)*B107)/12,2)</f>
        <v>0</v>
      </c>
      <c r="H107" s="409">
        <v>0</v>
      </c>
      <c r="I107" s="414">
        <f>ROUND(((B107*C107)*H107)/12,2)</f>
        <v>0</v>
      </c>
      <c r="J107" s="411">
        <v>0</v>
      </c>
      <c r="K107" s="416">
        <f>ROUND(((B107*C107)*J107)/12,2)</f>
        <v>0</v>
      </c>
    </row>
    <row r="108" spans="1:11" x14ac:dyDescent="0.2">
      <c r="A108" s="425" t="s">
        <v>367</v>
      </c>
      <c r="B108" s="413">
        <v>0.1</v>
      </c>
      <c r="C108" s="415">
        <v>0</v>
      </c>
      <c r="D108" s="408">
        <v>1</v>
      </c>
      <c r="E108" s="417">
        <f>ROUND(((C108*B108)*D108)/12,2)</f>
        <v>0</v>
      </c>
      <c r="F108" s="458">
        <v>1</v>
      </c>
      <c r="G108" s="448">
        <f>ROUND(((C108*F108)*B108)/12,2)</f>
        <v>0</v>
      </c>
      <c r="H108" s="410">
        <v>1</v>
      </c>
      <c r="I108" s="415">
        <f>ROUND(((B108*C108)*H108)/12,2)</f>
        <v>0</v>
      </c>
      <c r="J108" s="408">
        <v>1</v>
      </c>
      <c r="K108" s="417">
        <f>ROUND(((B108*C108)*J108)/12,2)</f>
        <v>0</v>
      </c>
    </row>
    <row r="109" spans="1:11" x14ac:dyDescent="0.2">
      <c r="A109" s="425" t="s">
        <v>368</v>
      </c>
      <c r="B109" s="413">
        <v>0.1</v>
      </c>
      <c r="C109" s="415">
        <v>0</v>
      </c>
      <c r="D109" s="408">
        <v>0</v>
      </c>
      <c r="E109" s="417">
        <f t="shared" ref="E109:E111" si="10">ROUND(((C109*B109)*D109)/12,2)</f>
        <v>0</v>
      </c>
      <c r="F109" s="458">
        <v>1</v>
      </c>
      <c r="G109" s="448">
        <f t="shared" ref="G109:G111" si="11">ROUND(((C109*F109)*B109)/12,2)</f>
        <v>0</v>
      </c>
      <c r="H109" s="410">
        <v>0</v>
      </c>
      <c r="I109" s="415">
        <f t="shared" ref="I109:I111" si="12">ROUND(((B109*C109)*H109)/12,2)</f>
        <v>0</v>
      </c>
      <c r="J109" s="408">
        <v>1</v>
      </c>
      <c r="K109" s="417">
        <f t="shared" ref="K109:K111" si="13">ROUND(((B109*C109)*J109)/12,2)</f>
        <v>0</v>
      </c>
    </row>
    <row r="110" spans="1:11" x14ac:dyDescent="0.2">
      <c r="A110" s="425" t="s">
        <v>372</v>
      </c>
      <c r="B110" s="413">
        <v>0.1</v>
      </c>
      <c r="C110" s="415">
        <v>0</v>
      </c>
      <c r="D110" s="408">
        <v>0</v>
      </c>
      <c r="E110" s="417">
        <f t="shared" si="10"/>
        <v>0</v>
      </c>
      <c r="F110" s="458">
        <v>1</v>
      </c>
      <c r="G110" s="448">
        <f t="shared" si="11"/>
        <v>0</v>
      </c>
      <c r="H110" s="410">
        <v>4</v>
      </c>
      <c r="I110" s="415">
        <f t="shared" si="12"/>
        <v>0</v>
      </c>
      <c r="J110" s="408">
        <v>2</v>
      </c>
      <c r="K110" s="417">
        <f t="shared" si="13"/>
        <v>0</v>
      </c>
    </row>
    <row r="111" spans="1:11" x14ac:dyDescent="0.2">
      <c r="A111" s="426" t="s">
        <v>373</v>
      </c>
      <c r="B111" s="419">
        <v>0.1</v>
      </c>
      <c r="C111" s="420">
        <v>0</v>
      </c>
      <c r="D111" s="418">
        <v>0</v>
      </c>
      <c r="E111" s="421">
        <f t="shared" si="10"/>
        <v>0</v>
      </c>
      <c r="F111" s="458">
        <v>0</v>
      </c>
      <c r="G111" s="448">
        <f t="shared" si="11"/>
        <v>0</v>
      </c>
      <c r="H111" s="422">
        <v>0</v>
      </c>
      <c r="I111" s="415">
        <f t="shared" si="12"/>
        <v>0</v>
      </c>
      <c r="J111" s="418">
        <v>0</v>
      </c>
      <c r="K111" s="417">
        <f t="shared" si="13"/>
        <v>0</v>
      </c>
    </row>
    <row r="112" spans="1:11" ht="13.5" thickBot="1" x14ac:dyDescent="0.25">
      <c r="A112" s="816" t="s">
        <v>229</v>
      </c>
      <c r="B112" s="817"/>
      <c r="C112" s="817"/>
      <c r="D112" s="400"/>
      <c r="E112" s="252">
        <f>SUM(E107:E111)</f>
        <v>0</v>
      </c>
      <c r="F112" s="444"/>
      <c r="G112" s="252">
        <f>SUM(G107:G111)</f>
        <v>0</v>
      </c>
      <c r="H112" s="400"/>
      <c r="I112" s="252">
        <f>SUM(I107:I111)</f>
        <v>0</v>
      </c>
      <c r="J112" s="423"/>
      <c r="K112" s="424">
        <f>SUM(K107:K111)</f>
        <v>0</v>
      </c>
    </row>
    <row r="113" spans="1:11" ht="13.5" thickBot="1" x14ac:dyDescent="0.25">
      <c r="A113" s="406"/>
      <c r="B113" s="407"/>
      <c r="C113" s="407"/>
      <c r="D113" s="407"/>
      <c r="E113" s="407"/>
      <c r="F113" s="407"/>
      <c r="G113" s="407"/>
      <c r="H113" s="407"/>
      <c r="I113" s="407"/>
      <c r="J113" s="407"/>
      <c r="K113" s="372"/>
    </row>
    <row r="114" spans="1:11" x14ac:dyDescent="0.2">
      <c r="A114" s="808" t="s">
        <v>461</v>
      </c>
      <c r="B114" s="810" t="s">
        <v>228</v>
      </c>
      <c r="C114" s="812" t="s">
        <v>426</v>
      </c>
      <c r="D114" s="814" t="str">
        <f>D105</f>
        <v>CEARB</v>
      </c>
      <c r="E114" s="815"/>
      <c r="F114" s="841" t="str">
        <f>F105</f>
        <v>CEMAR</v>
      </c>
      <c r="G114" s="842"/>
      <c r="H114" s="804" t="str">
        <f>H105</f>
        <v>CEPRE</v>
      </c>
      <c r="I114" s="805"/>
      <c r="J114" s="806" t="str">
        <f>J105</f>
        <v>CESJR</v>
      </c>
      <c r="K114" s="807"/>
    </row>
    <row r="115" spans="1:11" ht="12.75" customHeight="1" thickBot="1" x14ac:dyDescent="0.25">
      <c r="A115" s="809"/>
      <c r="B115" s="811"/>
      <c r="C115" s="813"/>
      <c r="D115" s="259" t="str">
        <f>D106</f>
        <v>Quantidade</v>
      </c>
      <c r="E115" s="399" t="str">
        <f>E106</f>
        <v>Valor</v>
      </c>
      <c r="F115" s="259" t="str">
        <f>F106</f>
        <v>Quantidade</v>
      </c>
      <c r="G115" s="402" t="str">
        <f>G106</f>
        <v>Valor</v>
      </c>
      <c r="H115" s="256" t="str">
        <f>H106</f>
        <v>Quantidade</v>
      </c>
      <c r="I115" s="257" t="str">
        <f>I106</f>
        <v>Valor</v>
      </c>
      <c r="J115" s="258" t="str">
        <f>J106</f>
        <v>Quantidade</v>
      </c>
      <c r="K115" s="157" t="str">
        <f>K106</f>
        <v>Valor</v>
      </c>
    </row>
    <row r="116" spans="1:11" x14ac:dyDescent="0.2">
      <c r="A116" s="429" t="s">
        <v>287</v>
      </c>
      <c r="B116" s="404">
        <v>0.1</v>
      </c>
      <c r="C116" s="414">
        <v>0</v>
      </c>
      <c r="D116" s="411">
        <v>0</v>
      </c>
      <c r="E116" s="430">
        <f>ROUND(((C116*B116)*D116)/12,2)</f>
        <v>0</v>
      </c>
      <c r="F116" s="466">
        <v>0</v>
      </c>
      <c r="G116" s="430">
        <f>ROUND(((B116*C116)*F116)/12,2)</f>
        <v>0</v>
      </c>
      <c r="H116" s="409">
        <v>1</v>
      </c>
      <c r="I116" s="432">
        <f>ROUND(((B116*C116)*H116)/12,2)</f>
        <v>0</v>
      </c>
      <c r="J116" s="411">
        <v>1</v>
      </c>
      <c r="K116" s="430">
        <f>ROUND(((B116*C116)*J116)/12,2)</f>
        <v>0</v>
      </c>
    </row>
    <row r="117" spans="1:11" x14ac:dyDescent="0.2">
      <c r="A117" s="425" t="s">
        <v>288</v>
      </c>
      <c r="B117" s="405">
        <v>0.1</v>
      </c>
      <c r="C117" s="415">
        <v>0</v>
      </c>
      <c r="D117" s="408">
        <v>1</v>
      </c>
      <c r="E117" s="431">
        <f>ROUND(((C117*B117)*D117)/12,2)</f>
        <v>0</v>
      </c>
      <c r="F117" s="467">
        <v>1</v>
      </c>
      <c r="G117" s="459">
        <f>ROUND(((B117*C117)*F117)/12,2)</f>
        <v>0</v>
      </c>
      <c r="H117" s="410">
        <v>1</v>
      </c>
      <c r="I117" s="433">
        <f>ROUND(((B117*C117)*H117)/12,2)</f>
        <v>0</v>
      </c>
      <c r="J117" s="408">
        <v>2</v>
      </c>
      <c r="K117" s="431">
        <f>ROUND(((B117*C117)*J117)/12,2)</f>
        <v>0</v>
      </c>
    </row>
    <row r="118" spans="1:11" x14ac:dyDescent="0.2">
      <c r="A118" s="425" t="s">
        <v>376</v>
      </c>
      <c r="B118" s="405">
        <v>0.1</v>
      </c>
      <c r="C118" s="415">
        <v>0</v>
      </c>
      <c r="D118" s="408">
        <v>0</v>
      </c>
      <c r="E118" s="431">
        <f t="shared" ref="E118:E120" si="14">ROUND(((C118*B118)*D118)/12,2)</f>
        <v>0</v>
      </c>
      <c r="F118" s="467">
        <v>0</v>
      </c>
      <c r="G118" s="459">
        <f t="shared" ref="G118:G120" si="15">ROUND(((B118*C118)*F118)/12,2)</f>
        <v>0</v>
      </c>
      <c r="H118" s="410">
        <v>1</v>
      </c>
      <c r="I118" s="433">
        <f t="shared" ref="I118:I120" si="16">ROUND(((B118*C118)*H118)/12,2)</f>
        <v>0</v>
      </c>
      <c r="J118" s="408">
        <v>2</v>
      </c>
      <c r="K118" s="431">
        <f t="shared" ref="K118:K120" si="17">ROUND(((B118*C118)*J118)/12,2)</f>
        <v>0</v>
      </c>
    </row>
    <row r="119" spans="1:11" x14ac:dyDescent="0.2">
      <c r="A119" s="425" t="s">
        <v>377</v>
      </c>
      <c r="B119" s="405">
        <v>0.1</v>
      </c>
      <c r="C119" s="415">
        <v>0</v>
      </c>
      <c r="D119" s="408">
        <v>1</v>
      </c>
      <c r="E119" s="431">
        <f t="shared" si="14"/>
        <v>0</v>
      </c>
      <c r="F119" s="467">
        <v>0</v>
      </c>
      <c r="G119" s="459">
        <f t="shared" si="15"/>
        <v>0</v>
      </c>
      <c r="H119" s="410">
        <v>0</v>
      </c>
      <c r="I119" s="433">
        <f t="shared" si="16"/>
        <v>0</v>
      </c>
      <c r="J119" s="408">
        <v>0</v>
      </c>
      <c r="K119" s="431">
        <f t="shared" si="17"/>
        <v>0</v>
      </c>
    </row>
    <row r="120" spans="1:11" x14ac:dyDescent="0.2">
      <c r="A120" s="425" t="s">
        <v>289</v>
      </c>
      <c r="B120" s="428">
        <v>0.1</v>
      </c>
      <c r="C120" s="415">
        <v>0</v>
      </c>
      <c r="D120" s="408">
        <v>1</v>
      </c>
      <c r="E120" s="431">
        <f t="shared" si="14"/>
        <v>0</v>
      </c>
      <c r="F120" s="467">
        <v>1</v>
      </c>
      <c r="G120" s="459">
        <f t="shared" si="15"/>
        <v>0</v>
      </c>
      <c r="H120" s="410">
        <v>0</v>
      </c>
      <c r="I120" s="433">
        <f t="shared" si="16"/>
        <v>0</v>
      </c>
      <c r="J120" s="408">
        <v>1</v>
      </c>
      <c r="K120" s="431">
        <f t="shared" si="17"/>
        <v>0</v>
      </c>
    </row>
    <row r="121" spans="1:11" ht="13.5" thickBot="1" x14ac:dyDescent="0.25">
      <c r="A121" s="816" t="s">
        <v>229</v>
      </c>
      <c r="B121" s="817"/>
      <c r="C121" s="817"/>
      <c r="D121" s="400"/>
      <c r="E121" s="252">
        <f>SUM(E116:E120)</f>
        <v>0</v>
      </c>
      <c r="F121" s="444"/>
      <c r="G121" s="444">
        <f>SUM(G116:G120)</f>
        <v>0</v>
      </c>
      <c r="H121" s="400"/>
      <c r="I121" s="252">
        <f>SUM(I116:I120)</f>
        <v>0</v>
      </c>
      <c r="J121" s="423"/>
      <c r="K121" s="424">
        <f>SUM(K116:K120)</f>
        <v>0</v>
      </c>
    </row>
    <row r="122" spans="1:11" ht="13.5" thickBot="1" x14ac:dyDescent="0.25">
      <c r="A122" s="406"/>
      <c r="B122" s="407"/>
      <c r="C122" s="407"/>
      <c r="D122" s="407"/>
      <c r="E122" s="407"/>
      <c r="F122" s="407"/>
      <c r="G122" s="407"/>
      <c r="H122" s="407"/>
      <c r="I122" s="407"/>
      <c r="J122" s="407"/>
      <c r="K122" s="372"/>
    </row>
    <row r="123" spans="1:11" s="134" customFormat="1" ht="12.75" customHeight="1" x14ac:dyDescent="0.2">
      <c r="A123" s="808" t="s">
        <v>227</v>
      </c>
      <c r="B123" s="810" t="str">
        <f>C96</f>
        <v xml:space="preserve">Valor Unitário </v>
      </c>
      <c r="C123" s="812" t="s">
        <v>228</v>
      </c>
      <c r="D123" s="814" t="str">
        <f>D96</f>
        <v>CEARB</v>
      </c>
      <c r="E123" s="815"/>
      <c r="F123" s="841" t="str">
        <f>F114</f>
        <v>CEMAR</v>
      </c>
      <c r="G123" s="842"/>
      <c r="H123" s="804" t="str">
        <f>H96</f>
        <v>CEPRE</v>
      </c>
      <c r="I123" s="805"/>
      <c r="J123" s="806" t="str">
        <f>J96</f>
        <v>CESJR</v>
      </c>
      <c r="K123" s="807"/>
    </row>
    <row r="124" spans="1:11" s="134" customFormat="1" x14ac:dyDescent="0.2">
      <c r="A124" s="809"/>
      <c r="B124" s="811"/>
      <c r="C124" s="813"/>
      <c r="D124" s="259" t="str">
        <f>D97</f>
        <v>Quantidade</v>
      </c>
      <c r="E124" s="337" t="str">
        <f>E97</f>
        <v>Valor</v>
      </c>
      <c r="F124" s="259" t="str">
        <f>F97</f>
        <v>Quantidade</v>
      </c>
      <c r="G124" s="402" t="str">
        <f>G97</f>
        <v>Valor</v>
      </c>
      <c r="H124" s="256" t="str">
        <f>H97</f>
        <v>Quantidade</v>
      </c>
      <c r="I124" s="257" t="str">
        <f>I97</f>
        <v>Valor</v>
      </c>
      <c r="J124" s="258" t="str">
        <f>J97</f>
        <v>Quantidade</v>
      </c>
      <c r="K124" s="157" t="str">
        <f>K97</f>
        <v>Valor</v>
      </c>
    </row>
    <row r="125" spans="1:11" s="135" customFormat="1" ht="63.75" x14ac:dyDescent="0.2">
      <c r="A125" s="219" t="s">
        <v>457</v>
      </c>
      <c r="B125" s="260">
        <v>0</v>
      </c>
      <c r="C125" s="261">
        <v>0.1</v>
      </c>
      <c r="D125" s="254">
        <v>0</v>
      </c>
      <c r="E125" s="251">
        <f>ROUND(((B125*C125)*D125)/12,2)</f>
        <v>0</v>
      </c>
      <c r="F125" s="468">
        <v>0</v>
      </c>
      <c r="G125" s="450">
        <f>ROUND(((B125*C125)*F125)/12,2)</f>
        <v>0</v>
      </c>
      <c r="H125" s="254">
        <v>1</v>
      </c>
      <c r="I125" s="251">
        <f t="shared" ref="I125:I133" si="18">ROUND(((B125*C125)*H125)/12,2)</f>
        <v>0</v>
      </c>
      <c r="J125" s="245">
        <v>1</v>
      </c>
      <c r="K125" s="242">
        <f t="shared" ref="K125:K133" si="19">ROUND(((B125*C125)*J125)/12,2)</f>
        <v>0</v>
      </c>
    </row>
    <row r="126" spans="1:11" s="135" customFormat="1" ht="102" x14ac:dyDescent="0.2">
      <c r="A126" s="219" t="s">
        <v>458</v>
      </c>
      <c r="B126" s="260">
        <v>0</v>
      </c>
      <c r="C126" s="261">
        <v>0.1</v>
      </c>
      <c r="D126" s="254">
        <v>0</v>
      </c>
      <c r="E126" s="251">
        <f t="shared" ref="E126:E133" si="20">ROUND(((C126*B126)*D126)/12,2)</f>
        <v>0</v>
      </c>
      <c r="F126" s="468">
        <v>0</v>
      </c>
      <c r="G126" s="450">
        <f>ROUND(((B126*C126)*F126)/12,2)</f>
        <v>0</v>
      </c>
      <c r="H126" s="254">
        <v>0</v>
      </c>
      <c r="I126" s="251">
        <f t="shared" si="18"/>
        <v>0</v>
      </c>
      <c r="J126" s="245">
        <v>0</v>
      </c>
      <c r="K126" s="242">
        <f t="shared" si="19"/>
        <v>0</v>
      </c>
    </row>
    <row r="127" spans="1:11" s="135" customFormat="1" ht="63.75" x14ac:dyDescent="0.2">
      <c r="A127" s="219" t="s">
        <v>459</v>
      </c>
      <c r="B127" s="260">
        <v>0</v>
      </c>
      <c r="C127" s="261">
        <v>0.1</v>
      </c>
      <c r="D127" s="254">
        <v>0</v>
      </c>
      <c r="E127" s="251">
        <f t="shared" si="20"/>
        <v>0</v>
      </c>
      <c r="F127" s="468">
        <v>0</v>
      </c>
      <c r="G127" s="450">
        <f t="shared" ref="G127:G133" si="21">ROUND(((B127*C127)*F127)/12,2)</f>
        <v>0</v>
      </c>
      <c r="H127" s="254">
        <v>0</v>
      </c>
      <c r="I127" s="251">
        <f t="shared" si="18"/>
        <v>0</v>
      </c>
      <c r="J127" s="245">
        <v>0</v>
      </c>
      <c r="K127" s="242">
        <f t="shared" si="19"/>
        <v>0</v>
      </c>
    </row>
    <row r="128" spans="1:11" s="135" customFormat="1" ht="25.5" x14ac:dyDescent="0.2">
      <c r="A128" s="219" t="s">
        <v>369</v>
      </c>
      <c r="B128" s="260">
        <v>0</v>
      </c>
      <c r="C128" s="261">
        <v>0.1</v>
      </c>
      <c r="D128" s="254">
        <v>0</v>
      </c>
      <c r="E128" s="251">
        <f t="shared" si="20"/>
        <v>0</v>
      </c>
      <c r="F128" s="468">
        <v>0</v>
      </c>
      <c r="G128" s="450">
        <f t="shared" si="21"/>
        <v>0</v>
      </c>
      <c r="H128" s="254">
        <v>0</v>
      </c>
      <c r="I128" s="251">
        <f t="shared" si="18"/>
        <v>0</v>
      </c>
      <c r="J128" s="245">
        <v>0</v>
      </c>
      <c r="K128" s="242">
        <f t="shared" si="19"/>
        <v>0</v>
      </c>
    </row>
    <row r="129" spans="1:11" s="135" customFormat="1" x14ac:dyDescent="0.2">
      <c r="A129" s="219" t="s">
        <v>370</v>
      </c>
      <c r="B129" s="260">
        <v>0</v>
      </c>
      <c r="C129" s="261">
        <v>0.1</v>
      </c>
      <c r="D129" s="254">
        <v>0</v>
      </c>
      <c r="E129" s="251">
        <f t="shared" si="20"/>
        <v>0</v>
      </c>
      <c r="F129" s="468">
        <v>2</v>
      </c>
      <c r="G129" s="450">
        <f t="shared" si="21"/>
        <v>0</v>
      </c>
      <c r="H129" s="254">
        <v>0</v>
      </c>
      <c r="I129" s="251">
        <f t="shared" si="18"/>
        <v>0</v>
      </c>
      <c r="J129" s="245">
        <v>0</v>
      </c>
      <c r="K129" s="242">
        <f t="shared" si="19"/>
        <v>0</v>
      </c>
    </row>
    <row r="130" spans="1:11" s="135" customFormat="1" ht="25.5" x14ac:dyDescent="0.2">
      <c r="A130" s="219" t="s">
        <v>371</v>
      </c>
      <c r="B130" s="260">
        <v>0</v>
      </c>
      <c r="C130" s="261">
        <v>0.1</v>
      </c>
      <c r="D130" s="254">
        <v>1</v>
      </c>
      <c r="E130" s="251">
        <f t="shared" si="20"/>
        <v>0</v>
      </c>
      <c r="F130" s="468">
        <v>2</v>
      </c>
      <c r="G130" s="450">
        <f t="shared" si="21"/>
        <v>0</v>
      </c>
      <c r="H130" s="254">
        <v>0</v>
      </c>
      <c r="I130" s="251">
        <f t="shared" si="18"/>
        <v>0</v>
      </c>
      <c r="J130" s="245">
        <v>4</v>
      </c>
      <c r="K130" s="242">
        <f t="shared" si="19"/>
        <v>0</v>
      </c>
    </row>
    <row r="131" spans="1:11" s="135" customFormat="1" x14ac:dyDescent="0.2">
      <c r="A131" s="219" t="s">
        <v>374</v>
      </c>
      <c r="B131" s="260">
        <v>0</v>
      </c>
      <c r="C131" s="261">
        <v>0.1</v>
      </c>
      <c r="D131" s="254">
        <v>0</v>
      </c>
      <c r="E131" s="251">
        <f t="shared" si="20"/>
        <v>0</v>
      </c>
      <c r="F131" s="468">
        <v>0</v>
      </c>
      <c r="G131" s="450">
        <f t="shared" si="21"/>
        <v>0</v>
      </c>
      <c r="H131" s="254">
        <v>1</v>
      </c>
      <c r="I131" s="251">
        <f t="shared" si="18"/>
        <v>0</v>
      </c>
      <c r="J131" s="245">
        <v>4</v>
      </c>
      <c r="K131" s="242">
        <f t="shared" si="19"/>
        <v>0</v>
      </c>
    </row>
    <row r="132" spans="1:11" s="135" customFormat="1" x14ac:dyDescent="0.2">
      <c r="A132" s="219" t="s">
        <v>375</v>
      </c>
      <c r="B132" s="260">
        <v>0</v>
      </c>
      <c r="C132" s="261">
        <v>0.1</v>
      </c>
      <c r="D132" s="254">
        <v>0</v>
      </c>
      <c r="E132" s="251">
        <f t="shared" si="20"/>
        <v>0</v>
      </c>
      <c r="F132" s="468">
        <v>1</v>
      </c>
      <c r="G132" s="450">
        <f t="shared" si="21"/>
        <v>0</v>
      </c>
      <c r="H132" s="254">
        <v>0</v>
      </c>
      <c r="I132" s="251">
        <f t="shared" si="18"/>
        <v>0</v>
      </c>
      <c r="J132" s="245">
        <v>0</v>
      </c>
      <c r="K132" s="242">
        <f t="shared" si="19"/>
        <v>0</v>
      </c>
    </row>
    <row r="133" spans="1:11" s="135" customFormat="1" x14ac:dyDescent="0.2">
      <c r="A133" s="219" t="s">
        <v>378</v>
      </c>
      <c r="B133" s="260">
        <v>0</v>
      </c>
      <c r="C133" s="261">
        <v>0.1</v>
      </c>
      <c r="D133" s="254">
        <v>3</v>
      </c>
      <c r="E133" s="251">
        <f t="shared" si="20"/>
        <v>0</v>
      </c>
      <c r="F133" s="468">
        <v>3</v>
      </c>
      <c r="G133" s="450">
        <f t="shared" si="21"/>
        <v>0</v>
      </c>
      <c r="H133" s="254">
        <v>0</v>
      </c>
      <c r="I133" s="251">
        <f t="shared" si="18"/>
        <v>0</v>
      </c>
      <c r="J133" s="245">
        <v>2</v>
      </c>
      <c r="K133" s="242">
        <f t="shared" si="19"/>
        <v>0</v>
      </c>
    </row>
    <row r="134" spans="1:11" s="50" customFormat="1" ht="13.5" thickBot="1" x14ac:dyDescent="0.25">
      <c r="A134" s="851" t="s">
        <v>229</v>
      </c>
      <c r="B134" s="852"/>
      <c r="C134" s="852"/>
      <c r="D134" s="373"/>
      <c r="E134" s="374">
        <f>SUM(E125:E133)</f>
        <v>0</v>
      </c>
      <c r="F134" s="443"/>
      <c r="G134" s="374">
        <f>SUM(G125:G133)</f>
        <v>0</v>
      </c>
      <c r="H134" s="373"/>
      <c r="I134" s="374">
        <f>SUM(I125:I133)</f>
        <v>0</v>
      </c>
      <c r="J134" s="375"/>
      <c r="K134" s="376">
        <f>SUM(K125:K133)</f>
        <v>0</v>
      </c>
    </row>
    <row r="135" spans="1:11" s="50" customFormat="1" ht="13.5" thickBot="1" x14ac:dyDescent="0.25">
      <c r="A135" s="853"/>
      <c r="B135" s="854"/>
      <c r="C135" s="854"/>
      <c r="D135" s="854"/>
      <c r="E135" s="854"/>
      <c r="F135" s="855"/>
      <c r="G135" s="855"/>
      <c r="H135" s="854"/>
      <c r="I135" s="854"/>
      <c r="J135" s="854"/>
      <c r="K135" s="856"/>
    </row>
    <row r="136" spans="1:11" ht="27" customHeight="1" thickBot="1" x14ac:dyDescent="0.25">
      <c r="A136" s="872" t="s">
        <v>436</v>
      </c>
      <c r="B136" s="873"/>
      <c r="C136" s="873"/>
      <c r="D136" s="874">
        <f>SUM(E69,E94,E103,E112,E121,E134)</f>
        <v>0</v>
      </c>
      <c r="E136" s="875"/>
      <c r="F136" s="874">
        <f>SUM(G69,G94,G103,G112,G121,G134)</f>
        <v>0</v>
      </c>
      <c r="G136" s="875"/>
      <c r="H136" s="874">
        <f>SUM(I69,I94,I103,I112,I121,I134)</f>
        <v>0</v>
      </c>
      <c r="I136" s="875"/>
      <c r="J136" s="876">
        <f>SUM(K69,K94,K103,K112,K121,K134)</f>
        <v>0</v>
      </c>
      <c r="K136" s="875"/>
    </row>
    <row r="137" spans="1:11" ht="13.5" thickBot="1" x14ac:dyDescent="0.25">
      <c r="A137" s="370"/>
      <c r="B137" s="371"/>
      <c r="C137" s="371"/>
      <c r="D137" s="371"/>
      <c r="E137" s="371"/>
      <c r="F137" s="407"/>
      <c r="G137" s="407"/>
      <c r="H137" s="371"/>
      <c r="I137" s="371"/>
      <c r="J137" s="371"/>
      <c r="K137" s="372"/>
    </row>
    <row r="138" spans="1:11" s="134" customFormat="1" ht="12.75" customHeight="1" x14ac:dyDescent="0.2">
      <c r="A138" s="808" t="s">
        <v>231</v>
      </c>
      <c r="B138" s="877" t="s">
        <v>232</v>
      </c>
      <c r="C138" s="798"/>
      <c r="D138" s="880" t="str">
        <f>D123</f>
        <v>CEARB</v>
      </c>
      <c r="E138" s="799"/>
      <c r="F138" s="798" t="str">
        <f>F123</f>
        <v>CEMAR</v>
      </c>
      <c r="G138" s="799"/>
      <c r="H138" s="798" t="str">
        <f>H123</f>
        <v>CEPRE</v>
      </c>
      <c r="I138" s="799"/>
      <c r="J138" s="806" t="str">
        <f>J123</f>
        <v>CESJR</v>
      </c>
      <c r="K138" s="805"/>
    </row>
    <row r="139" spans="1:11" s="134" customFormat="1" ht="13.5" thickBot="1" x14ac:dyDescent="0.25">
      <c r="A139" s="845"/>
      <c r="B139" s="878"/>
      <c r="C139" s="879"/>
      <c r="D139" s="881" t="s">
        <v>133</v>
      </c>
      <c r="E139" s="882"/>
      <c r="F139" s="883" t="s">
        <v>133</v>
      </c>
      <c r="G139" s="882"/>
      <c r="H139" s="883" t="s">
        <v>133</v>
      </c>
      <c r="I139" s="882"/>
      <c r="J139" s="884" t="s">
        <v>133</v>
      </c>
      <c r="K139" s="882"/>
    </row>
    <row r="140" spans="1:11" s="50" customFormat="1" x14ac:dyDescent="0.2">
      <c r="A140" s="220" t="s">
        <v>233</v>
      </c>
      <c r="B140" s="863">
        <v>60</v>
      </c>
      <c r="C140" s="864"/>
      <c r="D140" s="865">
        <v>1</v>
      </c>
      <c r="E140" s="801"/>
      <c r="F140" s="800">
        <v>1</v>
      </c>
      <c r="G140" s="801"/>
      <c r="H140" s="800">
        <v>1</v>
      </c>
      <c r="I140" s="801"/>
      <c r="J140" s="866">
        <v>1</v>
      </c>
      <c r="K140" s="867"/>
    </row>
    <row r="141" spans="1:11" s="50" customFormat="1" x14ac:dyDescent="0.2">
      <c r="A141" s="221" t="s">
        <v>307</v>
      </c>
      <c r="B141" s="863"/>
      <c r="C141" s="864"/>
      <c r="D141" s="857">
        <v>1</v>
      </c>
      <c r="E141" s="803"/>
      <c r="F141" s="802">
        <v>1</v>
      </c>
      <c r="G141" s="803"/>
      <c r="H141" s="802">
        <v>1</v>
      </c>
      <c r="I141" s="803"/>
      <c r="J141" s="858">
        <v>1</v>
      </c>
      <c r="K141" s="859"/>
    </row>
    <row r="142" spans="1:11" s="50" customFormat="1" x14ac:dyDescent="0.2">
      <c r="A142" s="221" t="s">
        <v>308</v>
      </c>
      <c r="B142" s="863"/>
      <c r="C142" s="864"/>
      <c r="D142" s="857">
        <v>1</v>
      </c>
      <c r="E142" s="803"/>
      <c r="F142" s="802">
        <v>1</v>
      </c>
      <c r="G142" s="803"/>
      <c r="H142" s="802">
        <v>1</v>
      </c>
      <c r="I142" s="803"/>
      <c r="J142" s="858">
        <v>1</v>
      </c>
      <c r="K142" s="859"/>
    </row>
    <row r="143" spans="1:11" s="50" customFormat="1" x14ac:dyDescent="0.2">
      <c r="A143" s="221" t="s">
        <v>309</v>
      </c>
      <c r="B143" s="863"/>
      <c r="C143" s="864"/>
      <c r="D143" s="857">
        <v>1</v>
      </c>
      <c r="E143" s="803"/>
      <c r="F143" s="802">
        <v>1</v>
      </c>
      <c r="G143" s="803"/>
      <c r="H143" s="802">
        <v>1</v>
      </c>
      <c r="I143" s="803"/>
      <c r="J143" s="858">
        <v>1</v>
      </c>
      <c r="K143" s="859"/>
    </row>
    <row r="144" spans="1:11" s="50" customFormat="1" ht="13.5" thickBot="1" x14ac:dyDescent="0.25">
      <c r="A144" s="267" t="s">
        <v>310</v>
      </c>
      <c r="B144" s="863"/>
      <c r="C144" s="864"/>
      <c r="D144" s="860">
        <v>1</v>
      </c>
      <c r="E144" s="797"/>
      <c r="F144" s="796">
        <v>1</v>
      </c>
      <c r="G144" s="797"/>
      <c r="H144" s="796">
        <v>1</v>
      </c>
      <c r="I144" s="797"/>
      <c r="J144" s="861">
        <v>1</v>
      </c>
      <c r="K144" s="862"/>
    </row>
    <row r="145" spans="1:11" ht="13.5" thickBot="1" x14ac:dyDescent="0.25">
      <c r="A145" s="868" t="s">
        <v>234</v>
      </c>
      <c r="B145" s="869"/>
      <c r="C145" s="869"/>
      <c r="D145" s="869"/>
      <c r="E145" s="869"/>
      <c r="F145" s="870"/>
      <c r="G145" s="870"/>
      <c r="H145" s="869"/>
      <c r="I145" s="869"/>
      <c r="J145" s="869"/>
      <c r="K145" s="871"/>
    </row>
  </sheetData>
  <mergeCells count="92">
    <mergeCell ref="A145:K145"/>
    <mergeCell ref="A136:C136"/>
    <mergeCell ref="D136:E136"/>
    <mergeCell ref="H136:I136"/>
    <mergeCell ref="J136:K136"/>
    <mergeCell ref="J142:K142"/>
    <mergeCell ref="A138:A139"/>
    <mergeCell ref="B138:C139"/>
    <mergeCell ref="D138:E138"/>
    <mergeCell ref="H138:I138"/>
    <mergeCell ref="J138:K138"/>
    <mergeCell ref="D139:E139"/>
    <mergeCell ref="H139:I139"/>
    <mergeCell ref="J139:K139"/>
    <mergeCell ref="F136:G136"/>
    <mergeCell ref="F139:G139"/>
    <mergeCell ref="A135:K135"/>
    <mergeCell ref="D143:E143"/>
    <mergeCell ref="H143:I143"/>
    <mergeCell ref="J143:K143"/>
    <mergeCell ref="D144:E144"/>
    <mergeCell ref="H144:I144"/>
    <mergeCell ref="J144:K144"/>
    <mergeCell ref="B140:C144"/>
    <mergeCell ref="D140:E140"/>
    <mergeCell ref="H140:I140"/>
    <mergeCell ref="J140:K140"/>
    <mergeCell ref="D141:E141"/>
    <mergeCell ref="H141:I141"/>
    <mergeCell ref="J141:K141"/>
    <mergeCell ref="D142:E142"/>
    <mergeCell ref="H142:I142"/>
    <mergeCell ref="A134:C134"/>
    <mergeCell ref="A123:A124"/>
    <mergeCell ref="B123:B124"/>
    <mergeCell ref="C123:C124"/>
    <mergeCell ref="D123:E123"/>
    <mergeCell ref="H123:I123"/>
    <mergeCell ref="J123:K123"/>
    <mergeCell ref="A103:C103"/>
    <mergeCell ref="A104:K104"/>
    <mergeCell ref="A96:A97"/>
    <mergeCell ref="B96:B97"/>
    <mergeCell ref="C96:C97"/>
    <mergeCell ref="D96:E96"/>
    <mergeCell ref="H96:I96"/>
    <mergeCell ref="J96:K96"/>
    <mergeCell ref="F96:G96"/>
    <mergeCell ref="F105:G105"/>
    <mergeCell ref="F114:G114"/>
    <mergeCell ref="F123:G123"/>
    <mergeCell ref="A121:C121"/>
    <mergeCell ref="J105:K105"/>
    <mergeCell ref="A94:C94"/>
    <mergeCell ref="A95:K95"/>
    <mergeCell ref="A71:A72"/>
    <mergeCell ref="B71:B72"/>
    <mergeCell ref="C71:C72"/>
    <mergeCell ref="D71:E71"/>
    <mergeCell ref="H71:I71"/>
    <mergeCell ref="J71:K71"/>
    <mergeCell ref="F71:G71"/>
    <mergeCell ref="A69:C69"/>
    <mergeCell ref="A70:K70"/>
    <mergeCell ref="A1:K1"/>
    <mergeCell ref="A2:K2"/>
    <mergeCell ref="A3:K3"/>
    <mergeCell ref="A4:A5"/>
    <mergeCell ref="B4:B5"/>
    <mergeCell ref="C4:C5"/>
    <mergeCell ref="D4:E4"/>
    <mergeCell ref="H4:I4"/>
    <mergeCell ref="J4:K4"/>
    <mergeCell ref="F4:G4"/>
    <mergeCell ref="H114:I114"/>
    <mergeCell ref="J114:K114"/>
    <mergeCell ref="A105:A106"/>
    <mergeCell ref="B105:B106"/>
    <mergeCell ref="C105:C106"/>
    <mergeCell ref="D105:E105"/>
    <mergeCell ref="H105:I105"/>
    <mergeCell ref="A112:C112"/>
    <mergeCell ref="A114:A115"/>
    <mergeCell ref="B114:B115"/>
    <mergeCell ref="C114:C115"/>
    <mergeCell ref="D114:E114"/>
    <mergeCell ref="F144:G144"/>
    <mergeCell ref="F138:G138"/>
    <mergeCell ref="F140:G140"/>
    <mergeCell ref="F141:G141"/>
    <mergeCell ref="F142:G142"/>
    <mergeCell ref="F143:G143"/>
  </mergeCells>
  <printOptions horizontalCentered="1"/>
  <pageMargins left="0.78740157480314965" right="0.78740157480314965" top="0.78740157480314965" bottom="0.78740157480314965" header="0.31496062992125984" footer="0.31496062992125984"/>
  <pageSetup paperSize="9" scale="54" orientation="portrait" r:id="rId1"/>
  <headerFooter>
    <oddHeader>&amp;RPlanilhas MODELO LICITANTE</oddHeader>
  </headerFooter>
  <rowBreaks count="1" manualBreakCount="1">
    <brk id="94" max="8" man="1"/>
  </rowBreaks>
  <ignoredErrors>
    <ignoredError sqref="F123"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09"/>
  <sheetViews>
    <sheetView view="pageBreakPreview" topLeftCell="A10" zoomScale="120" zoomScaleNormal="110" zoomScaleSheetLayoutView="120" workbookViewId="0">
      <selection activeCell="J45" sqref="J45"/>
    </sheetView>
  </sheetViews>
  <sheetFormatPr defaultRowHeight="12.75" x14ac:dyDescent="0.2"/>
  <cols>
    <col min="1" max="1" width="62.28515625" style="49" customWidth="1"/>
    <col min="2" max="2" width="12.7109375" style="49" customWidth="1"/>
    <col min="3" max="3" width="10.7109375" style="49" customWidth="1"/>
    <col min="4" max="4" width="8.42578125" style="49" bestFit="1" customWidth="1"/>
    <col min="5" max="5" width="10.7109375" style="49" customWidth="1"/>
    <col min="6" max="6" width="8.42578125" style="49" customWidth="1"/>
    <col min="7" max="7" width="10.7109375" style="49" customWidth="1"/>
    <col min="8" max="8" width="8.42578125" style="49" bestFit="1" customWidth="1"/>
    <col min="9" max="9" width="10.7109375" style="49" customWidth="1"/>
    <col min="10" max="10" width="8.42578125" style="49" bestFit="1" customWidth="1"/>
    <col min="11" max="11" width="11.5703125" style="49" customWidth="1"/>
    <col min="12" max="256" width="9.140625" style="49"/>
    <col min="257" max="257" width="13.5703125" style="49" customWidth="1"/>
    <col min="258" max="258" width="12.85546875" style="49" customWidth="1"/>
    <col min="259" max="259" width="15" style="49" customWidth="1"/>
    <col min="260" max="261" width="13.42578125" style="49" customWidth="1"/>
    <col min="262" max="512" width="9.140625" style="49"/>
    <col min="513" max="513" width="13.5703125" style="49" customWidth="1"/>
    <col min="514" max="514" width="12.85546875" style="49" customWidth="1"/>
    <col min="515" max="515" width="15" style="49" customWidth="1"/>
    <col min="516" max="517" width="13.42578125" style="49" customWidth="1"/>
    <col min="518" max="768" width="9.140625" style="49"/>
    <col min="769" max="769" width="13.5703125" style="49" customWidth="1"/>
    <col min="770" max="770" width="12.85546875" style="49" customWidth="1"/>
    <col min="771" max="771" width="15" style="49" customWidth="1"/>
    <col min="772" max="773" width="13.42578125" style="49" customWidth="1"/>
    <col min="774" max="1024" width="9.140625" style="49"/>
    <col min="1025" max="1025" width="13.5703125" style="49" customWidth="1"/>
    <col min="1026" max="1026" width="12.85546875" style="49" customWidth="1"/>
    <col min="1027" max="1027" width="15" style="49" customWidth="1"/>
    <col min="1028" max="1029" width="13.42578125" style="49" customWidth="1"/>
    <col min="1030" max="1280" width="9.140625" style="49"/>
    <col min="1281" max="1281" width="13.5703125" style="49" customWidth="1"/>
    <col min="1282" max="1282" width="12.85546875" style="49" customWidth="1"/>
    <col min="1283" max="1283" width="15" style="49" customWidth="1"/>
    <col min="1284" max="1285" width="13.42578125" style="49" customWidth="1"/>
    <col min="1286" max="1536" width="9.140625" style="49"/>
    <col min="1537" max="1537" width="13.5703125" style="49" customWidth="1"/>
    <col min="1538" max="1538" width="12.85546875" style="49" customWidth="1"/>
    <col min="1539" max="1539" width="15" style="49" customWidth="1"/>
    <col min="1540" max="1541" width="13.42578125" style="49" customWidth="1"/>
    <col min="1542" max="1792" width="9.140625" style="49"/>
    <col min="1793" max="1793" width="13.5703125" style="49" customWidth="1"/>
    <col min="1794" max="1794" width="12.85546875" style="49" customWidth="1"/>
    <col min="1795" max="1795" width="15" style="49" customWidth="1"/>
    <col min="1796" max="1797" width="13.42578125" style="49" customWidth="1"/>
    <col min="1798" max="2048" width="9.140625" style="49"/>
    <col min="2049" max="2049" width="13.5703125" style="49" customWidth="1"/>
    <col min="2050" max="2050" width="12.85546875" style="49" customWidth="1"/>
    <col min="2051" max="2051" width="15" style="49" customWidth="1"/>
    <col min="2052" max="2053" width="13.42578125" style="49" customWidth="1"/>
    <col min="2054" max="2304" width="9.140625" style="49"/>
    <col min="2305" max="2305" width="13.5703125" style="49" customWidth="1"/>
    <col min="2306" max="2306" width="12.85546875" style="49" customWidth="1"/>
    <col min="2307" max="2307" width="15" style="49" customWidth="1"/>
    <col min="2308" max="2309" width="13.42578125" style="49" customWidth="1"/>
    <col min="2310" max="2560" width="9.140625" style="49"/>
    <col min="2561" max="2561" width="13.5703125" style="49" customWidth="1"/>
    <col min="2562" max="2562" width="12.85546875" style="49" customWidth="1"/>
    <col min="2563" max="2563" width="15" style="49" customWidth="1"/>
    <col min="2564" max="2565" width="13.42578125" style="49" customWidth="1"/>
    <col min="2566" max="2816" width="9.140625" style="49"/>
    <col min="2817" max="2817" width="13.5703125" style="49" customWidth="1"/>
    <col min="2818" max="2818" width="12.85546875" style="49" customWidth="1"/>
    <col min="2819" max="2819" width="15" style="49" customWidth="1"/>
    <col min="2820" max="2821" width="13.42578125" style="49" customWidth="1"/>
    <col min="2822" max="3072" width="9.140625" style="49"/>
    <col min="3073" max="3073" width="13.5703125" style="49" customWidth="1"/>
    <col min="3074" max="3074" width="12.85546875" style="49" customWidth="1"/>
    <col min="3075" max="3075" width="15" style="49" customWidth="1"/>
    <col min="3076" max="3077" width="13.42578125" style="49" customWidth="1"/>
    <col min="3078" max="3328" width="9.140625" style="49"/>
    <col min="3329" max="3329" width="13.5703125" style="49" customWidth="1"/>
    <col min="3330" max="3330" width="12.85546875" style="49" customWidth="1"/>
    <col min="3331" max="3331" width="15" style="49" customWidth="1"/>
    <col min="3332" max="3333" width="13.42578125" style="49" customWidth="1"/>
    <col min="3334" max="3584" width="9.140625" style="49"/>
    <col min="3585" max="3585" width="13.5703125" style="49" customWidth="1"/>
    <col min="3586" max="3586" width="12.85546875" style="49" customWidth="1"/>
    <col min="3587" max="3587" width="15" style="49" customWidth="1"/>
    <col min="3588" max="3589" width="13.42578125" style="49" customWidth="1"/>
    <col min="3590" max="3840" width="9.140625" style="49"/>
    <col min="3841" max="3841" width="13.5703125" style="49" customWidth="1"/>
    <col min="3842" max="3842" width="12.85546875" style="49" customWidth="1"/>
    <col min="3843" max="3843" width="15" style="49" customWidth="1"/>
    <col min="3844" max="3845" width="13.42578125" style="49" customWidth="1"/>
    <col min="3846" max="4096" width="9.140625" style="49"/>
    <col min="4097" max="4097" width="13.5703125" style="49" customWidth="1"/>
    <col min="4098" max="4098" width="12.85546875" style="49" customWidth="1"/>
    <col min="4099" max="4099" width="15" style="49" customWidth="1"/>
    <col min="4100" max="4101" width="13.42578125" style="49" customWidth="1"/>
    <col min="4102" max="4352" width="9.140625" style="49"/>
    <col min="4353" max="4353" width="13.5703125" style="49" customWidth="1"/>
    <col min="4354" max="4354" width="12.85546875" style="49" customWidth="1"/>
    <col min="4355" max="4355" width="15" style="49" customWidth="1"/>
    <col min="4356" max="4357" width="13.42578125" style="49" customWidth="1"/>
    <col min="4358" max="4608" width="9.140625" style="49"/>
    <col min="4609" max="4609" width="13.5703125" style="49" customWidth="1"/>
    <col min="4610" max="4610" width="12.85546875" style="49" customWidth="1"/>
    <col min="4611" max="4611" width="15" style="49" customWidth="1"/>
    <col min="4612" max="4613" width="13.42578125" style="49" customWidth="1"/>
    <col min="4614" max="4864" width="9.140625" style="49"/>
    <col min="4865" max="4865" width="13.5703125" style="49" customWidth="1"/>
    <col min="4866" max="4866" width="12.85546875" style="49" customWidth="1"/>
    <col min="4867" max="4867" width="15" style="49" customWidth="1"/>
    <col min="4868" max="4869" width="13.42578125" style="49" customWidth="1"/>
    <col min="4870" max="5120" width="9.140625" style="49"/>
    <col min="5121" max="5121" width="13.5703125" style="49" customWidth="1"/>
    <col min="5122" max="5122" width="12.85546875" style="49" customWidth="1"/>
    <col min="5123" max="5123" width="15" style="49" customWidth="1"/>
    <col min="5124" max="5125" width="13.42578125" style="49" customWidth="1"/>
    <col min="5126" max="5376" width="9.140625" style="49"/>
    <col min="5377" max="5377" width="13.5703125" style="49" customWidth="1"/>
    <col min="5378" max="5378" width="12.85546875" style="49" customWidth="1"/>
    <col min="5379" max="5379" width="15" style="49" customWidth="1"/>
    <col min="5380" max="5381" width="13.42578125" style="49" customWidth="1"/>
    <col min="5382" max="5632" width="9.140625" style="49"/>
    <col min="5633" max="5633" width="13.5703125" style="49" customWidth="1"/>
    <col min="5634" max="5634" width="12.85546875" style="49" customWidth="1"/>
    <col min="5635" max="5635" width="15" style="49" customWidth="1"/>
    <col min="5636" max="5637" width="13.42578125" style="49" customWidth="1"/>
    <col min="5638" max="5888" width="9.140625" style="49"/>
    <col min="5889" max="5889" width="13.5703125" style="49" customWidth="1"/>
    <col min="5890" max="5890" width="12.85546875" style="49" customWidth="1"/>
    <col min="5891" max="5891" width="15" style="49" customWidth="1"/>
    <col min="5892" max="5893" width="13.42578125" style="49" customWidth="1"/>
    <col min="5894" max="6144" width="9.140625" style="49"/>
    <col min="6145" max="6145" width="13.5703125" style="49" customWidth="1"/>
    <col min="6146" max="6146" width="12.85546875" style="49" customWidth="1"/>
    <col min="6147" max="6147" width="15" style="49" customWidth="1"/>
    <col min="6148" max="6149" width="13.42578125" style="49" customWidth="1"/>
    <col min="6150" max="6400" width="9.140625" style="49"/>
    <col min="6401" max="6401" width="13.5703125" style="49" customWidth="1"/>
    <col min="6402" max="6402" width="12.85546875" style="49" customWidth="1"/>
    <col min="6403" max="6403" width="15" style="49" customWidth="1"/>
    <col min="6404" max="6405" width="13.42578125" style="49" customWidth="1"/>
    <col min="6406" max="6656" width="9.140625" style="49"/>
    <col min="6657" max="6657" width="13.5703125" style="49" customWidth="1"/>
    <col min="6658" max="6658" width="12.85546875" style="49" customWidth="1"/>
    <col min="6659" max="6659" width="15" style="49" customWidth="1"/>
    <col min="6660" max="6661" width="13.42578125" style="49" customWidth="1"/>
    <col min="6662" max="6912" width="9.140625" style="49"/>
    <col min="6913" max="6913" width="13.5703125" style="49" customWidth="1"/>
    <col min="6914" max="6914" width="12.85546875" style="49" customWidth="1"/>
    <col min="6915" max="6915" width="15" style="49" customWidth="1"/>
    <col min="6916" max="6917" width="13.42578125" style="49" customWidth="1"/>
    <col min="6918" max="7168" width="9.140625" style="49"/>
    <col min="7169" max="7169" width="13.5703125" style="49" customWidth="1"/>
    <col min="7170" max="7170" width="12.85546875" style="49" customWidth="1"/>
    <col min="7171" max="7171" width="15" style="49" customWidth="1"/>
    <col min="7172" max="7173" width="13.42578125" style="49" customWidth="1"/>
    <col min="7174" max="7424" width="9.140625" style="49"/>
    <col min="7425" max="7425" width="13.5703125" style="49" customWidth="1"/>
    <col min="7426" max="7426" width="12.85546875" style="49" customWidth="1"/>
    <col min="7427" max="7427" width="15" style="49" customWidth="1"/>
    <col min="7428" max="7429" width="13.42578125" style="49" customWidth="1"/>
    <col min="7430" max="7680" width="9.140625" style="49"/>
    <col min="7681" max="7681" width="13.5703125" style="49" customWidth="1"/>
    <col min="7682" max="7682" width="12.85546875" style="49" customWidth="1"/>
    <col min="7683" max="7683" width="15" style="49" customWidth="1"/>
    <col min="7684" max="7685" width="13.42578125" style="49" customWidth="1"/>
    <col min="7686" max="7936" width="9.140625" style="49"/>
    <col min="7937" max="7937" width="13.5703125" style="49" customWidth="1"/>
    <col min="7938" max="7938" width="12.85546875" style="49" customWidth="1"/>
    <col min="7939" max="7939" width="15" style="49" customWidth="1"/>
    <col min="7940" max="7941" width="13.42578125" style="49" customWidth="1"/>
    <col min="7942" max="8192" width="9.140625" style="49"/>
    <col min="8193" max="8193" width="13.5703125" style="49" customWidth="1"/>
    <col min="8194" max="8194" width="12.85546875" style="49" customWidth="1"/>
    <col min="8195" max="8195" width="15" style="49" customWidth="1"/>
    <col min="8196" max="8197" width="13.42578125" style="49" customWidth="1"/>
    <col min="8198" max="8448" width="9.140625" style="49"/>
    <col min="8449" max="8449" width="13.5703125" style="49" customWidth="1"/>
    <col min="8450" max="8450" width="12.85546875" style="49" customWidth="1"/>
    <col min="8451" max="8451" width="15" style="49" customWidth="1"/>
    <col min="8452" max="8453" width="13.42578125" style="49" customWidth="1"/>
    <col min="8454" max="8704" width="9.140625" style="49"/>
    <col min="8705" max="8705" width="13.5703125" style="49" customWidth="1"/>
    <col min="8706" max="8706" width="12.85546875" style="49" customWidth="1"/>
    <col min="8707" max="8707" width="15" style="49" customWidth="1"/>
    <col min="8708" max="8709" width="13.42578125" style="49" customWidth="1"/>
    <col min="8710" max="8960" width="9.140625" style="49"/>
    <col min="8961" max="8961" width="13.5703125" style="49" customWidth="1"/>
    <col min="8962" max="8962" width="12.85546875" style="49" customWidth="1"/>
    <col min="8963" max="8963" width="15" style="49" customWidth="1"/>
    <col min="8964" max="8965" width="13.42578125" style="49" customWidth="1"/>
    <col min="8966" max="9216" width="9.140625" style="49"/>
    <col min="9217" max="9217" width="13.5703125" style="49" customWidth="1"/>
    <col min="9218" max="9218" width="12.85546875" style="49" customWidth="1"/>
    <col min="9219" max="9219" width="15" style="49" customWidth="1"/>
    <col min="9220" max="9221" width="13.42578125" style="49" customWidth="1"/>
    <col min="9222" max="9472" width="9.140625" style="49"/>
    <col min="9473" max="9473" width="13.5703125" style="49" customWidth="1"/>
    <col min="9474" max="9474" width="12.85546875" style="49" customWidth="1"/>
    <col min="9475" max="9475" width="15" style="49" customWidth="1"/>
    <col min="9476" max="9477" width="13.42578125" style="49" customWidth="1"/>
    <col min="9478" max="9728" width="9.140625" style="49"/>
    <col min="9729" max="9729" width="13.5703125" style="49" customWidth="1"/>
    <col min="9730" max="9730" width="12.85546875" style="49" customWidth="1"/>
    <col min="9731" max="9731" width="15" style="49" customWidth="1"/>
    <col min="9732" max="9733" width="13.42578125" style="49" customWidth="1"/>
    <col min="9734" max="9984" width="9.140625" style="49"/>
    <col min="9985" max="9985" width="13.5703125" style="49" customWidth="1"/>
    <col min="9986" max="9986" width="12.85546875" style="49" customWidth="1"/>
    <col min="9987" max="9987" width="15" style="49" customWidth="1"/>
    <col min="9988" max="9989" width="13.42578125" style="49" customWidth="1"/>
    <col min="9990" max="10240" width="9.140625" style="49"/>
    <col min="10241" max="10241" width="13.5703125" style="49" customWidth="1"/>
    <col min="10242" max="10242" width="12.85546875" style="49" customWidth="1"/>
    <col min="10243" max="10243" width="15" style="49" customWidth="1"/>
    <col min="10244" max="10245" width="13.42578125" style="49" customWidth="1"/>
    <col min="10246" max="10496" width="9.140625" style="49"/>
    <col min="10497" max="10497" width="13.5703125" style="49" customWidth="1"/>
    <col min="10498" max="10498" width="12.85546875" style="49" customWidth="1"/>
    <col min="10499" max="10499" width="15" style="49" customWidth="1"/>
    <col min="10500" max="10501" width="13.42578125" style="49" customWidth="1"/>
    <col min="10502" max="10752" width="9.140625" style="49"/>
    <col min="10753" max="10753" width="13.5703125" style="49" customWidth="1"/>
    <col min="10754" max="10754" width="12.85546875" style="49" customWidth="1"/>
    <col min="10755" max="10755" width="15" style="49" customWidth="1"/>
    <col min="10756" max="10757" width="13.42578125" style="49" customWidth="1"/>
    <col min="10758" max="11008" width="9.140625" style="49"/>
    <col min="11009" max="11009" width="13.5703125" style="49" customWidth="1"/>
    <col min="11010" max="11010" width="12.85546875" style="49" customWidth="1"/>
    <col min="11011" max="11011" width="15" style="49" customWidth="1"/>
    <col min="11012" max="11013" width="13.42578125" style="49" customWidth="1"/>
    <col min="11014" max="11264" width="9.140625" style="49"/>
    <col min="11265" max="11265" width="13.5703125" style="49" customWidth="1"/>
    <col min="11266" max="11266" width="12.85546875" style="49" customWidth="1"/>
    <col min="11267" max="11267" width="15" style="49" customWidth="1"/>
    <col min="11268" max="11269" width="13.42578125" style="49" customWidth="1"/>
    <col min="11270" max="11520" width="9.140625" style="49"/>
    <col min="11521" max="11521" width="13.5703125" style="49" customWidth="1"/>
    <col min="11522" max="11522" width="12.85546875" style="49" customWidth="1"/>
    <col min="11523" max="11523" width="15" style="49" customWidth="1"/>
    <col min="11524" max="11525" width="13.42578125" style="49" customWidth="1"/>
    <col min="11526" max="11776" width="9.140625" style="49"/>
    <col min="11777" max="11777" width="13.5703125" style="49" customWidth="1"/>
    <col min="11778" max="11778" width="12.85546875" style="49" customWidth="1"/>
    <col min="11779" max="11779" width="15" style="49" customWidth="1"/>
    <col min="11780" max="11781" width="13.42578125" style="49" customWidth="1"/>
    <col min="11782" max="12032" width="9.140625" style="49"/>
    <col min="12033" max="12033" width="13.5703125" style="49" customWidth="1"/>
    <col min="12034" max="12034" width="12.85546875" style="49" customWidth="1"/>
    <col min="12035" max="12035" width="15" style="49" customWidth="1"/>
    <col min="12036" max="12037" width="13.42578125" style="49" customWidth="1"/>
    <col min="12038" max="12288" width="9.140625" style="49"/>
    <col min="12289" max="12289" width="13.5703125" style="49" customWidth="1"/>
    <col min="12290" max="12290" width="12.85546875" style="49" customWidth="1"/>
    <col min="12291" max="12291" width="15" style="49" customWidth="1"/>
    <col min="12292" max="12293" width="13.42578125" style="49" customWidth="1"/>
    <col min="12294" max="12544" width="9.140625" style="49"/>
    <col min="12545" max="12545" width="13.5703125" style="49" customWidth="1"/>
    <col min="12546" max="12546" width="12.85546875" style="49" customWidth="1"/>
    <col min="12547" max="12547" width="15" style="49" customWidth="1"/>
    <col min="12548" max="12549" width="13.42578125" style="49" customWidth="1"/>
    <col min="12550" max="12800" width="9.140625" style="49"/>
    <col min="12801" max="12801" width="13.5703125" style="49" customWidth="1"/>
    <col min="12802" max="12802" width="12.85546875" style="49" customWidth="1"/>
    <col min="12803" max="12803" width="15" style="49" customWidth="1"/>
    <col min="12804" max="12805" width="13.42578125" style="49" customWidth="1"/>
    <col min="12806" max="13056" width="9.140625" style="49"/>
    <col min="13057" max="13057" width="13.5703125" style="49" customWidth="1"/>
    <col min="13058" max="13058" width="12.85546875" style="49" customWidth="1"/>
    <col min="13059" max="13059" width="15" style="49" customWidth="1"/>
    <col min="13060" max="13061" width="13.42578125" style="49" customWidth="1"/>
    <col min="13062" max="13312" width="9.140625" style="49"/>
    <col min="13313" max="13313" width="13.5703125" style="49" customWidth="1"/>
    <col min="13314" max="13314" width="12.85546875" style="49" customWidth="1"/>
    <col min="13315" max="13315" width="15" style="49" customWidth="1"/>
    <col min="13316" max="13317" width="13.42578125" style="49" customWidth="1"/>
    <col min="13318" max="13568" width="9.140625" style="49"/>
    <col min="13569" max="13569" width="13.5703125" style="49" customWidth="1"/>
    <col min="13570" max="13570" width="12.85546875" style="49" customWidth="1"/>
    <col min="13571" max="13571" width="15" style="49" customWidth="1"/>
    <col min="13572" max="13573" width="13.42578125" style="49" customWidth="1"/>
    <col min="13574" max="13824" width="9.140625" style="49"/>
    <col min="13825" max="13825" width="13.5703125" style="49" customWidth="1"/>
    <col min="13826" max="13826" width="12.85546875" style="49" customWidth="1"/>
    <col min="13827" max="13827" width="15" style="49" customWidth="1"/>
    <col min="13828" max="13829" width="13.42578125" style="49" customWidth="1"/>
    <col min="13830" max="14080" width="9.140625" style="49"/>
    <col min="14081" max="14081" width="13.5703125" style="49" customWidth="1"/>
    <col min="14082" max="14082" width="12.85546875" style="49" customWidth="1"/>
    <col min="14083" max="14083" width="15" style="49" customWidth="1"/>
    <col min="14084" max="14085" width="13.42578125" style="49" customWidth="1"/>
    <col min="14086" max="14336" width="9.140625" style="49"/>
    <col min="14337" max="14337" width="13.5703125" style="49" customWidth="1"/>
    <col min="14338" max="14338" width="12.85546875" style="49" customWidth="1"/>
    <col min="14339" max="14339" width="15" style="49" customWidth="1"/>
    <col min="14340" max="14341" width="13.42578125" style="49" customWidth="1"/>
    <col min="14342" max="14592" width="9.140625" style="49"/>
    <col min="14593" max="14593" width="13.5703125" style="49" customWidth="1"/>
    <col min="14594" max="14594" width="12.85546875" style="49" customWidth="1"/>
    <col min="14595" max="14595" width="15" style="49" customWidth="1"/>
    <col min="14596" max="14597" width="13.42578125" style="49" customWidth="1"/>
    <col min="14598" max="14848" width="9.140625" style="49"/>
    <col min="14849" max="14849" width="13.5703125" style="49" customWidth="1"/>
    <col min="14850" max="14850" width="12.85546875" style="49" customWidth="1"/>
    <col min="14851" max="14851" width="15" style="49" customWidth="1"/>
    <col min="14852" max="14853" width="13.42578125" style="49" customWidth="1"/>
    <col min="14854" max="15104" width="9.140625" style="49"/>
    <col min="15105" max="15105" width="13.5703125" style="49" customWidth="1"/>
    <col min="15106" max="15106" width="12.85546875" style="49" customWidth="1"/>
    <col min="15107" max="15107" width="15" style="49" customWidth="1"/>
    <col min="15108" max="15109" width="13.42578125" style="49" customWidth="1"/>
    <col min="15110" max="15360" width="9.140625" style="49"/>
    <col min="15361" max="15361" width="13.5703125" style="49" customWidth="1"/>
    <col min="15362" max="15362" width="12.85546875" style="49" customWidth="1"/>
    <col min="15363" max="15363" width="15" style="49" customWidth="1"/>
    <col min="15364" max="15365" width="13.42578125" style="49" customWidth="1"/>
    <col min="15366" max="15616" width="9.140625" style="49"/>
    <col min="15617" max="15617" width="13.5703125" style="49" customWidth="1"/>
    <col min="15618" max="15618" width="12.85546875" style="49" customWidth="1"/>
    <col min="15619" max="15619" width="15" style="49" customWidth="1"/>
    <col min="15620" max="15621" width="13.42578125" style="49" customWidth="1"/>
    <col min="15622" max="15872" width="9.140625" style="49"/>
    <col min="15873" max="15873" width="13.5703125" style="49" customWidth="1"/>
    <col min="15874" max="15874" width="12.85546875" style="49" customWidth="1"/>
    <col min="15875" max="15875" width="15" style="49" customWidth="1"/>
    <col min="15876" max="15877" width="13.42578125" style="49" customWidth="1"/>
    <col min="15878" max="16128" width="9.140625" style="49"/>
    <col min="16129" max="16129" width="13.5703125" style="49" customWidth="1"/>
    <col min="16130" max="16130" width="12.85546875" style="49" customWidth="1"/>
    <col min="16131" max="16131" width="15" style="49" customWidth="1"/>
    <col min="16132" max="16133" width="13.42578125" style="49" customWidth="1"/>
    <col min="16134" max="16384" width="9.140625" style="49"/>
  </cols>
  <sheetData>
    <row r="1" spans="1:11" ht="16.5" x14ac:dyDescent="0.2">
      <c r="A1" s="904" t="s">
        <v>474</v>
      </c>
      <c r="B1" s="905"/>
      <c r="C1" s="905"/>
      <c r="D1" s="905"/>
      <c r="E1" s="905"/>
      <c r="F1" s="906"/>
      <c r="G1" s="906"/>
      <c r="H1" s="905"/>
      <c r="I1" s="905"/>
      <c r="J1" s="905"/>
      <c r="K1" s="907"/>
    </row>
    <row r="2" spans="1:11" s="50" customFormat="1" ht="16.5" x14ac:dyDescent="0.2">
      <c r="A2" s="908" t="s">
        <v>219</v>
      </c>
      <c r="B2" s="830"/>
      <c r="C2" s="830"/>
      <c r="D2" s="830"/>
      <c r="E2" s="830"/>
      <c r="F2" s="830"/>
      <c r="G2" s="830"/>
      <c r="H2" s="830"/>
      <c r="I2" s="830"/>
      <c r="J2" s="830"/>
      <c r="K2" s="831"/>
    </row>
    <row r="3" spans="1:11" s="50" customFormat="1" ht="13.5" thickBot="1" x14ac:dyDescent="0.25">
      <c r="A3" s="909" t="s">
        <v>427</v>
      </c>
      <c r="B3" s="833"/>
      <c r="C3" s="833"/>
      <c r="D3" s="833"/>
      <c r="E3" s="833"/>
      <c r="F3" s="833"/>
      <c r="G3" s="833"/>
      <c r="H3" s="833"/>
      <c r="I3" s="833"/>
      <c r="J3" s="833"/>
      <c r="K3" s="834"/>
    </row>
    <row r="4" spans="1:11" ht="13.5" thickBot="1" x14ac:dyDescent="0.25">
      <c r="A4" s="820"/>
      <c r="B4" s="910"/>
      <c r="C4" s="910"/>
      <c r="D4" s="910"/>
      <c r="E4" s="910"/>
      <c r="F4" s="822"/>
      <c r="G4" s="822"/>
      <c r="H4" s="910"/>
      <c r="I4" s="910"/>
      <c r="J4" s="910"/>
      <c r="K4" s="911"/>
    </row>
    <row r="5" spans="1:11" s="133" customFormat="1" ht="12.75" customHeight="1" x14ac:dyDescent="0.2">
      <c r="A5" s="887" t="s">
        <v>381</v>
      </c>
      <c r="B5" s="888" t="s">
        <v>353</v>
      </c>
      <c r="C5" s="890" t="s">
        <v>426</v>
      </c>
      <c r="D5" s="918" t="s">
        <v>451</v>
      </c>
      <c r="E5" s="893"/>
      <c r="F5" s="841" t="s">
        <v>452</v>
      </c>
      <c r="G5" s="842"/>
      <c r="H5" s="894" t="s">
        <v>453</v>
      </c>
      <c r="I5" s="895"/>
      <c r="J5" s="892" t="s">
        <v>454</v>
      </c>
      <c r="K5" s="893"/>
    </row>
    <row r="6" spans="1:11" s="133" customFormat="1" x14ac:dyDescent="0.2">
      <c r="A6" s="809"/>
      <c r="B6" s="889"/>
      <c r="C6" s="891"/>
      <c r="D6" s="341" t="s">
        <v>133</v>
      </c>
      <c r="E6" s="342" t="s">
        <v>390</v>
      </c>
      <c r="F6" s="341" t="s">
        <v>133</v>
      </c>
      <c r="G6" s="342" t="s">
        <v>390</v>
      </c>
      <c r="H6" s="341" t="s">
        <v>133</v>
      </c>
      <c r="I6" s="342" t="s">
        <v>390</v>
      </c>
      <c r="J6" s="343" t="s">
        <v>133</v>
      </c>
      <c r="K6" s="342" t="s">
        <v>390</v>
      </c>
    </row>
    <row r="7" spans="1:11" x14ac:dyDescent="0.2">
      <c r="A7" s="344" t="s">
        <v>290</v>
      </c>
      <c r="B7" s="345">
        <v>6</v>
      </c>
      <c r="C7" s="346">
        <v>0</v>
      </c>
      <c r="D7" s="560">
        <v>4</v>
      </c>
      <c r="E7" s="348">
        <f t="shared" ref="E7:E16" si="0">ROUND((C7*D7)/B7,2)</f>
        <v>0</v>
      </c>
      <c r="F7" s="347">
        <v>4</v>
      </c>
      <c r="G7" s="440">
        <f>ROUND((C7*F7)/B7,2)</f>
        <v>0</v>
      </c>
      <c r="H7" s="347">
        <v>4</v>
      </c>
      <c r="I7" s="348">
        <f t="shared" ref="I7:I16" si="1">ROUND((C7*H7)/B7,2)</f>
        <v>0</v>
      </c>
      <c r="J7" s="349">
        <v>4</v>
      </c>
      <c r="K7" s="350">
        <f>ROUND((C7*J7)/B7,2)</f>
        <v>0</v>
      </c>
    </row>
    <row r="8" spans="1:11" x14ac:dyDescent="0.2">
      <c r="A8" s="344" t="s">
        <v>291</v>
      </c>
      <c r="B8" s="345">
        <v>6</v>
      </c>
      <c r="C8" s="346">
        <v>0</v>
      </c>
      <c r="D8" s="560">
        <v>4</v>
      </c>
      <c r="E8" s="348">
        <f t="shared" si="0"/>
        <v>0</v>
      </c>
      <c r="F8" s="347">
        <v>2</v>
      </c>
      <c r="G8" s="440">
        <f>ROUND((C8*F8)/B8,2)</f>
        <v>0</v>
      </c>
      <c r="H8" s="347">
        <v>2</v>
      </c>
      <c r="I8" s="348">
        <f t="shared" si="1"/>
        <v>0</v>
      </c>
      <c r="J8" s="349">
        <v>4</v>
      </c>
      <c r="K8" s="350">
        <f t="shared" ref="K8:K37" si="2">ROUND((C8*J8)/B8,2)</f>
        <v>0</v>
      </c>
    </row>
    <row r="9" spans="1:11" x14ac:dyDescent="0.2">
      <c r="A9" s="351" t="s">
        <v>292</v>
      </c>
      <c r="B9" s="345">
        <v>6</v>
      </c>
      <c r="C9" s="346">
        <v>0</v>
      </c>
      <c r="D9" s="560">
        <v>4</v>
      </c>
      <c r="E9" s="348">
        <f t="shared" si="0"/>
        <v>0</v>
      </c>
      <c r="F9" s="347">
        <v>3</v>
      </c>
      <c r="G9" s="440">
        <f t="shared" ref="G9:G16" si="3">ROUND((C9*F9)/B9,2)</f>
        <v>0</v>
      </c>
      <c r="H9" s="347">
        <v>3</v>
      </c>
      <c r="I9" s="348">
        <f t="shared" si="1"/>
        <v>0</v>
      </c>
      <c r="J9" s="349">
        <v>4</v>
      </c>
      <c r="K9" s="350">
        <f t="shared" si="2"/>
        <v>0</v>
      </c>
    </row>
    <row r="10" spans="1:11" x14ac:dyDescent="0.2">
      <c r="A10" s="344" t="s">
        <v>293</v>
      </c>
      <c r="B10" s="345">
        <v>6</v>
      </c>
      <c r="C10" s="346">
        <v>0</v>
      </c>
      <c r="D10" s="560">
        <v>1</v>
      </c>
      <c r="E10" s="348">
        <f t="shared" si="0"/>
        <v>0</v>
      </c>
      <c r="F10" s="347">
        <v>1</v>
      </c>
      <c r="G10" s="440">
        <f t="shared" si="3"/>
        <v>0</v>
      </c>
      <c r="H10" s="347">
        <v>1</v>
      </c>
      <c r="I10" s="348">
        <f t="shared" si="1"/>
        <v>0</v>
      </c>
      <c r="J10" s="349">
        <v>1</v>
      </c>
      <c r="K10" s="350">
        <f t="shared" si="2"/>
        <v>0</v>
      </c>
    </row>
    <row r="11" spans="1:11" x14ac:dyDescent="0.2">
      <c r="A11" s="344" t="s">
        <v>379</v>
      </c>
      <c r="B11" s="345">
        <v>6</v>
      </c>
      <c r="C11" s="346">
        <v>0</v>
      </c>
      <c r="D11" s="560">
        <v>0</v>
      </c>
      <c r="E11" s="348">
        <f t="shared" si="0"/>
        <v>0</v>
      </c>
      <c r="F11" s="347">
        <v>0</v>
      </c>
      <c r="G11" s="440">
        <f t="shared" si="3"/>
        <v>0</v>
      </c>
      <c r="H11" s="347">
        <v>0</v>
      </c>
      <c r="I11" s="348">
        <f t="shared" si="1"/>
        <v>0</v>
      </c>
      <c r="J11" s="349">
        <v>0</v>
      </c>
      <c r="K11" s="350">
        <f t="shared" si="2"/>
        <v>0</v>
      </c>
    </row>
    <row r="12" spans="1:11" x14ac:dyDescent="0.2">
      <c r="A12" s="344" t="s">
        <v>294</v>
      </c>
      <c r="B12" s="345">
        <v>6</v>
      </c>
      <c r="C12" s="346">
        <v>0</v>
      </c>
      <c r="D12" s="560">
        <v>5</v>
      </c>
      <c r="E12" s="348">
        <f t="shared" si="0"/>
        <v>0</v>
      </c>
      <c r="F12" s="347">
        <v>2</v>
      </c>
      <c r="G12" s="440">
        <f t="shared" si="3"/>
        <v>0</v>
      </c>
      <c r="H12" s="347">
        <v>2</v>
      </c>
      <c r="I12" s="348">
        <f t="shared" si="1"/>
        <v>0</v>
      </c>
      <c r="J12" s="349">
        <v>2</v>
      </c>
      <c r="K12" s="350">
        <f t="shared" si="2"/>
        <v>0</v>
      </c>
    </row>
    <row r="13" spans="1:11" x14ac:dyDescent="0.2">
      <c r="A13" s="344" t="s">
        <v>295</v>
      </c>
      <c r="B13" s="345">
        <v>6</v>
      </c>
      <c r="C13" s="346">
        <v>0</v>
      </c>
      <c r="D13" s="560">
        <v>1</v>
      </c>
      <c r="E13" s="348">
        <f t="shared" si="0"/>
        <v>0</v>
      </c>
      <c r="F13" s="347">
        <v>2</v>
      </c>
      <c r="G13" s="440">
        <f t="shared" si="3"/>
        <v>0</v>
      </c>
      <c r="H13" s="347">
        <v>2</v>
      </c>
      <c r="I13" s="348">
        <f t="shared" si="1"/>
        <v>0</v>
      </c>
      <c r="J13" s="349">
        <v>2</v>
      </c>
      <c r="K13" s="350">
        <f t="shared" si="2"/>
        <v>0</v>
      </c>
    </row>
    <row r="14" spans="1:11" ht="25.5" x14ac:dyDescent="0.2">
      <c r="A14" s="352" t="s">
        <v>296</v>
      </c>
      <c r="B14" s="345">
        <v>6</v>
      </c>
      <c r="C14" s="346">
        <v>0</v>
      </c>
      <c r="D14" s="560">
        <v>2</v>
      </c>
      <c r="E14" s="348">
        <f t="shared" si="0"/>
        <v>0</v>
      </c>
      <c r="F14" s="347">
        <v>1</v>
      </c>
      <c r="G14" s="440">
        <f t="shared" si="3"/>
        <v>0</v>
      </c>
      <c r="H14" s="347">
        <v>1</v>
      </c>
      <c r="I14" s="348">
        <f t="shared" si="1"/>
        <v>0</v>
      </c>
      <c r="J14" s="349">
        <v>1</v>
      </c>
      <c r="K14" s="350">
        <f t="shared" si="2"/>
        <v>0</v>
      </c>
    </row>
    <row r="15" spans="1:11" x14ac:dyDescent="0.2">
      <c r="A15" s="344" t="s">
        <v>297</v>
      </c>
      <c r="B15" s="345">
        <v>6</v>
      </c>
      <c r="C15" s="346">
        <v>0</v>
      </c>
      <c r="D15" s="560">
        <v>1</v>
      </c>
      <c r="E15" s="348">
        <f t="shared" si="0"/>
        <v>0</v>
      </c>
      <c r="F15" s="347">
        <v>1</v>
      </c>
      <c r="G15" s="440">
        <f t="shared" si="3"/>
        <v>0</v>
      </c>
      <c r="H15" s="347">
        <v>1</v>
      </c>
      <c r="I15" s="348">
        <f t="shared" si="1"/>
        <v>0</v>
      </c>
      <c r="J15" s="349">
        <v>1</v>
      </c>
      <c r="K15" s="350">
        <f t="shared" si="2"/>
        <v>0</v>
      </c>
    </row>
    <row r="16" spans="1:11" x14ac:dyDescent="0.2">
      <c r="A16" s="353" t="s">
        <v>380</v>
      </c>
      <c r="B16" s="354">
        <v>12</v>
      </c>
      <c r="C16" s="355">
        <v>0</v>
      </c>
      <c r="D16" s="560">
        <v>1</v>
      </c>
      <c r="E16" s="348">
        <f t="shared" si="0"/>
        <v>0</v>
      </c>
      <c r="F16" s="347">
        <v>1</v>
      </c>
      <c r="G16" s="440">
        <f t="shared" si="3"/>
        <v>0</v>
      </c>
      <c r="H16" s="356">
        <v>1</v>
      </c>
      <c r="I16" s="348">
        <f t="shared" si="1"/>
        <v>0</v>
      </c>
      <c r="J16" s="357">
        <v>1</v>
      </c>
      <c r="K16" s="358">
        <f t="shared" si="2"/>
        <v>0</v>
      </c>
    </row>
    <row r="17" spans="1:11" ht="13.5" thickBot="1" x14ac:dyDescent="0.25">
      <c r="A17" s="262" t="s">
        <v>316</v>
      </c>
      <c r="B17" s="359"/>
      <c r="C17" s="359"/>
      <c r="D17" s="262"/>
      <c r="E17" s="264">
        <f>SUM(E7:E16)</f>
        <v>0</v>
      </c>
      <c r="F17" s="438"/>
      <c r="G17" s="264">
        <f>SUM(G7:G16)</f>
        <v>0</v>
      </c>
      <c r="H17" s="262"/>
      <c r="I17" s="265">
        <f>SUM(I7:I16)</f>
        <v>0</v>
      </c>
      <c r="J17" s="360"/>
      <c r="K17" s="266">
        <f>SUM(K7:K16)</f>
        <v>0</v>
      </c>
    </row>
    <row r="18" spans="1:11" ht="13.5" thickBot="1" x14ac:dyDescent="0.25">
      <c r="A18" s="912"/>
      <c r="B18" s="913"/>
      <c r="C18" s="913"/>
      <c r="D18" s="913"/>
      <c r="E18" s="913"/>
      <c r="F18" s="914"/>
      <c r="G18" s="914"/>
      <c r="H18" s="913"/>
      <c r="I18" s="913"/>
      <c r="J18" s="913"/>
      <c r="K18" s="915"/>
    </row>
    <row r="19" spans="1:11" s="133" customFormat="1" ht="12.75" customHeight="1" x14ac:dyDescent="0.2">
      <c r="A19" s="887" t="s">
        <v>230</v>
      </c>
      <c r="B19" s="888" t="str">
        <f>B5</f>
        <v>Periodicidade / Meses</v>
      </c>
      <c r="C19" s="890" t="str">
        <f>C5</f>
        <v>Valor Unitário</v>
      </c>
      <c r="D19" s="894" t="str">
        <f>D5</f>
        <v>CEARB</v>
      </c>
      <c r="E19" s="895"/>
      <c r="F19" s="841" t="str">
        <f>F5</f>
        <v>CEMAR</v>
      </c>
      <c r="G19" s="842"/>
      <c r="H19" s="894" t="str">
        <f>H5</f>
        <v>CEPRE</v>
      </c>
      <c r="I19" s="895"/>
      <c r="J19" s="892" t="str">
        <f>J5</f>
        <v>CESJR</v>
      </c>
      <c r="K19" s="893"/>
    </row>
    <row r="20" spans="1:11" s="133" customFormat="1" x14ac:dyDescent="0.2">
      <c r="A20" s="809"/>
      <c r="B20" s="889"/>
      <c r="C20" s="891"/>
      <c r="D20" s="341" t="str">
        <f>D6</f>
        <v>Quantidade</v>
      </c>
      <c r="E20" s="342" t="str">
        <f>E6</f>
        <v>Valor</v>
      </c>
      <c r="F20" s="341" t="str">
        <f>F6</f>
        <v>Quantidade</v>
      </c>
      <c r="G20" s="342" t="str">
        <f>G6</f>
        <v>Valor</v>
      </c>
      <c r="H20" s="341" t="str">
        <f>H6</f>
        <v>Quantidade</v>
      </c>
      <c r="I20" s="342" t="str">
        <f>I6</f>
        <v>Valor</v>
      </c>
      <c r="J20" s="343" t="str">
        <f>J6</f>
        <v>Quantidade</v>
      </c>
      <c r="K20" s="342" t="str">
        <f>K6</f>
        <v>Valor</v>
      </c>
    </row>
    <row r="21" spans="1:11" x14ac:dyDescent="0.2">
      <c r="A21" s="344" t="s">
        <v>298</v>
      </c>
      <c r="B21" s="345">
        <v>12</v>
      </c>
      <c r="C21" s="346">
        <v>0</v>
      </c>
      <c r="D21" s="347">
        <v>1</v>
      </c>
      <c r="E21" s="348">
        <f>ROUND((C21*D21)/B21,2)</f>
        <v>0</v>
      </c>
      <c r="F21" s="347">
        <v>1</v>
      </c>
      <c r="G21" s="440">
        <f>ROUND((C21*F21)/B21,2)</f>
        <v>0</v>
      </c>
      <c r="H21" s="347">
        <v>1</v>
      </c>
      <c r="I21" s="348">
        <f t="shared" ref="I21:I37" si="4">ROUND((C21*H21)/B21,2)</f>
        <v>0</v>
      </c>
      <c r="J21" s="349">
        <v>4</v>
      </c>
      <c r="K21" s="350">
        <f t="shared" si="2"/>
        <v>0</v>
      </c>
    </row>
    <row r="22" spans="1:11" x14ac:dyDescent="0.2">
      <c r="A22" s="344" t="s">
        <v>299</v>
      </c>
      <c r="B22" s="345">
        <v>6</v>
      </c>
      <c r="C22" s="346">
        <v>0</v>
      </c>
      <c r="D22" s="347">
        <v>3</v>
      </c>
      <c r="E22" s="348">
        <f t="shared" ref="E22:E37" si="5">ROUND((C22*D22)/B22,2)</f>
        <v>0</v>
      </c>
      <c r="F22" s="347">
        <v>3</v>
      </c>
      <c r="G22" s="440">
        <f>ROUND((C22*F22)/B22,2)</f>
        <v>0</v>
      </c>
      <c r="H22" s="347">
        <v>9</v>
      </c>
      <c r="I22" s="348">
        <f t="shared" si="4"/>
        <v>0</v>
      </c>
      <c r="J22" s="349">
        <v>15</v>
      </c>
      <c r="K22" s="350">
        <f t="shared" si="2"/>
        <v>0</v>
      </c>
    </row>
    <row r="23" spans="1:11" x14ac:dyDescent="0.2">
      <c r="A23" s="344" t="s">
        <v>382</v>
      </c>
      <c r="B23" s="345">
        <v>12</v>
      </c>
      <c r="C23" s="346">
        <v>0</v>
      </c>
      <c r="D23" s="347">
        <v>3</v>
      </c>
      <c r="E23" s="348">
        <f t="shared" si="5"/>
        <v>0</v>
      </c>
      <c r="F23" s="347">
        <v>3</v>
      </c>
      <c r="G23" s="440">
        <f t="shared" ref="G23:G37" si="6">ROUND((C23*F23)/B23,2)</f>
        <v>0</v>
      </c>
      <c r="H23" s="347">
        <v>1</v>
      </c>
      <c r="I23" s="348">
        <f t="shared" si="4"/>
        <v>0</v>
      </c>
      <c r="J23" s="349">
        <v>30</v>
      </c>
      <c r="K23" s="350">
        <f t="shared" si="2"/>
        <v>0</v>
      </c>
    </row>
    <row r="24" spans="1:11" x14ac:dyDescent="0.2">
      <c r="A24" s="344" t="s">
        <v>300</v>
      </c>
      <c r="B24" s="345">
        <v>3</v>
      </c>
      <c r="C24" s="346">
        <v>0</v>
      </c>
      <c r="D24" s="347">
        <v>12</v>
      </c>
      <c r="E24" s="348">
        <f t="shared" si="5"/>
        <v>0</v>
      </c>
      <c r="F24" s="347">
        <v>3</v>
      </c>
      <c r="G24" s="440">
        <f t="shared" si="6"/>
        <v>0</v>
      </c>
      <c r="H24" s="347">
        <v>9</v>
      </c>
      <c r="I24" s="348">
        <f t="shared" si="4"/>
        <v>0</v>
      </c>
      <c r="J24" s="349">
        <v>30</v>
      </c>
      <c r="K24" s="350">
        <f t="shared" si="2"/>
        <v>0</v>
      </c>
    </row>
    <row r="25" spans="1:11" x14ac:dyDescent="0.2">
      <c r="A25" s="344" t="s">
        <v>383</v>
      </c>
      <c r="B25" s="345">
        <v>12</v>
      </c>
      <c r="C25" s="346">
        <v>0</v>
      </c>
      <c r="D25" s="347">
        <v>6</v>
      </c>
      <c r="E25" s="348">
        <f t="shared" si="5"/>
        <v>0</v>
      </c>
      <c r="F25" s="347">
        <v>3</v>
      </c>
      <c r="G25" s="440">
        <f t="shared" si="6"/>
        <v>0</v>
      </c>
      <c r="H25" s="347">
        <v>8</v>
      </c>
      <c r="I25" s="348">
        <f t="shared" si="4"/>
        <v>0</v>
      </c>
      <c r="J25" s="349">
        <v>30</v>
      </c>
      <c r="K25" s="350">
        <f t="shared" si="2"/>
        <v>0</v>
      </c>
    </row>
    <row r="26" spans="1:11" x14ac:dyDescent="0.2">
      <c r="A26" s="344" t="s">
        <v>301</v>
      </c>
      <c r="B26" s="345">
        <v>12</v>
      </c>
      <c r="C26" s="346">
        <v>0</v>
      </c>
      <c r="D26" s="347">
        <v>0</v>
      </c>
      <c r="E26" s="348">
        <f t="shared" si="5"/>
        <v>0</v>
      </c>
      <c r="F26" s="347">
        <v>0</v>
      </c>
      <c r="G26" s="440">
        <f t="shared" si="6"/>
        <v>0</v>
      </c>
      <c r="H26" s="347">
        <v>0</v>
      </c>
      <c r="I26" s="348">
        <f t="shared" si="4"/>
        <v>0</v>
      </c>
      <c r="J26" s="349">
        <v>0</v>
      </c>
      <c r="K26" s="350">
        <f t="shared" si="2"/>
        <v>0</v>
      </c>
    </row>
    <row r="27" spans="1:11" x14ac:dyDescent="0.2">
      <c r="A27" s="344" t="s">
        <v>302</v>
      </c>
      <c r="B27" s="345">
        <v>12</v>
      </c>
      <c r="C27" s="346">
        <v>0</v>
      </c>
      <c r="D27" s="347">
        <v>2</v>
      </c>
      <c r="E27" s="348">
        <f t="shared" si="5"/>
        <v>0</v>
      </c>
      <c r="F27" s="347">
        <v>1</v>
      </c>
      <c r="G27" s="440">
        <f t="shared" si="6"/>
        <v>0</v>
      </c>
      <c r="H27" s="347">
        <v>0</v>
      </c>
      <c r="I27" s="348">
        <f t="shared" si="4"/>
        <v>0</v>
      </c>
      <c r="J27" s="349">
        <v>3</v>
      </c>
      <c r="K27" s="350">
        <f t="shared" si="2"/>
        <v>0</v>
      </c>
    </row>
    <row r="28" spans="1:11" x14ac:dyDescent="0.2">
      <c r="A28" s="344" t="s">
        <v>303</v>
      </c>
      <c r="B28" s="345">
        <v>6</v>
      </c>
      <c r="C28" s="346">
        <v>0</v>
      </c>
      <c r="D28" s="347">
        <v>3</v>
      </c>
      <c r="E28" s="348">
        <f t="shared" si="5"/>
        <v>0</v>
      </c>
      <c r="F28" s="347">
        <v>3</v>
      </c>
      <c r="G28" s="440">
        <f t="shared" si="6"/>
        <v>0</v>
      </c>
      <c r="H28" s="347">
        <v>8</v>
      </c>
      <c r="I28" s="348">
        <f t="shared" si="4"/>
        <v>0</v>
      </c>
      <c r="J28" s="349">
        <v>4</v>
      </c>
      <c r="K28" s="350">
        <f t="shared" si="2"/>
        <v>0</v>
      </c>
    </row>
    <row r="29" spans="1:11" x14ac:dyDescent="0.2">
      <c r="A29" s="344" t="s">
        <v>304</v>
      </c>
      <c r="B29" s="345">
        <v>3</v>
      </c>
      <c r="C29" s="346">
        <v>0</v>
      </c>
      <c r="D29" s="347">
        <v>6</v>
      </c>
      <c r="E29" s="348">
        <f t="shared" si="5"/>
        <v>0</v>
      </c>
      <c r="F29" s="347">
        <v>3</v>
      </c>
      <c r="G29" s="440">
        <f t="shared" si="6"/>
        <v>0</v>
      </c>
      <c r="H29" s="347">
        <v>9</v>
      </c>
      <c r="I29" s="348">
        <f t="shared" si="4"/>
        <v>0</v>
      </c>
      <c r="J29" s="349">
        <v>30</v>
      </c>
      <c r="K29" s="350">
        <f t="shared" si="2"/>
        <v>0</v>
      </c>
    </row>
    <row r="30" spans="1:11" x14ac:dyDescent="0.2">
      <c r="A30" s="344" t="s">
        <v>305</v>
      </c>
      <c r="B30" s="345">
        <v>3</v>
      </c>
      <c r="C30" s="346">
        <v>0</v>
      </c>
      <c r="D30" s="347">
        <v>6</v>
      </c>
      <c r="E30" s="348">
        <f t="shared" si="5"/>
        <v>0</v>
      </c>
      <c r="F30" s="347">
        <v>3</v>
      </c>
      <c r="G30" s="440">
        <f t="shared" si="6"/>
        <v>0</v>
      </c>
      <c r="H30" s="347">
        <v>9</v>
      </c>
      <c r="I30" s="348">
        <f t="shared" si="4"/>
        <v>0</v>
      </c>
      <c r="J30" s="349">
        <v>30</v>
      </c>
      <c r="K30" s="350">
        <f t="shared" si="2"/>
        <v>0</v>
      </c>
    </row>
    <row r="31" spans="1:11" x14ac:dyDescent="0.2">
      <c r="A31" s="344" t="s">
        <v>235</v>
      </c>
      <c r="B31" s="345">
        <v>3</v>
      </c>
      <c r="C31" s="346">
        <v>0</v>
      </c>
      <c r="D31" s="347">
        <v>18</v>
      </c>
      <c r="E31" s="348">
        <f t="shared" si="5"/>
        <v>0</v>
      </c>
      <c r="F31" s="347">
        <v>3</v>
      </c>
      <c r="G31" s="440">
        <f t="shared" si="6"/>
        <v>0</v>
      </c>
      <c r="H31" s="347">
        <v>8</v>
      </c>
      <c r="I31" s="348">
        <f t="shared" si="4"/>
        <v>0</v>
      </c>
      <c r="J31" s="349">
        <v>30</v>
      </c>
      <c r="K31" s="350">
        <f t="shared" si="2"/>
        <v>0</v>
      </c>
    </row>
    <row r="32" spans="1:11" x14ac:dyDescent="0.2">
      <c r="A32" s="344" t="s">
        <v>306</v>
      </c>
      <c r="B32" s="345">
        <v>12</v>
      </c>
      <c r="C32" s="346">
        <v>0</v>
      </c>
      <c r="D32" s="347">
        <v>2</v>
      </c>
      <c r="E32" s="348">
        <f t="shared" si="5"/>
        <v>0</v>
      </c>
      <c r="F32" s="347">
        <v>0</v>
      </c>
      <c r="G32" s="440">
        <f t="shared" si="6"/>
        <v>0</v>
      </c>
      <c r="H32" s="347">
        <v>2</v>
      </c>
      <c r="I32" s="348">
        <f t="shared" si="4"/>
        <v>0</v>
      </c>
      <c r="J32" s="349">
        <v>2</v>
      </c>
      <c r="K32" s="350">
        <f t="shared" si="2"/>
        <v>0</v>
      </c>
    </row>
    <row r="33" spans="1:11" x14ac:dyDescent="0.2">
      <c r="A33" s="344" t="s">
        <v>384</v>
      </c>
      <c r="B33" s="345">
        <v>6</v>
      </c>
      <c r="C33" s="346">
        <v>0</v>
      </c>
      <c r="D33" s="347">
        <v>3</v>
      </c>
      <c r="E33" s="348">
        <f t="shared" si="5"/>
        <v>0</v>
      </c>
      <c r="F33" s="347">
        <v>3</v>
      </c>
      <c r="G33" s="440">
        <f t="shared" si="6"/>
        <v>0</v>
      </c>
      <c r="H33" s="347">
        <v>9</v>
      </c>
      <c r="I33" s="348">
        <f t="shared" si="4"/>
        <v>0</v>
      </c>
      <c r="J33" s="349">
        <v>15</v>
      </c>
      <c r="K33" s="350">
        <f t="shared" si="2"/>
        <v>0</v>
      </c>
    </row>
    <row r="34" spans="1:11" x14ac:dyDescent="0.2">
      <c r="A34" s="344" t="s">
        <v>385</v>
      </c>
      <c r="B34" s="345">
        <v>6</v>
      </c>
      <c r="C34" s="346">
        <v>0</v>
      </c>
      <c r="D34" s="347">
        <v>2</v>
      </c>
      <c r="E34" s="348">
        <f t="shared" si="5"/>
        <v>0</v>
      </c>
      <c r="F34" s="347">
        <v>1</v>
      </c>
      <c r="G34" s="440">
        <f t="shared" si="6"/>
        <v>0</v>
      </c>
      <c r="H34" s="347">
        <v>8</v>
      </c>
      <c r="I34" s="348">
        <f t="shared" si="4"/>
        <v>0</v>
      </c>
      <c r="J34" s="349">
        <v>4</v>
      </c>
      <c r="K34" s="350">
        <f t="shared" si="2"/>
        <v>0</v>
      </c>
    </row>
    <row r="35" spans="1:11" x14ac:dyDescent="0.2">
      <c r="A35" s="344" t="s">
        <v>386</v>
      </c>
      <c r="B35" s="345">
        <v>12</v>
      </c>
      <c r="C35" s="346">
        <v>0</v>
      </c>
      <c r="D35" s="347">
        <v>1</v>
      </c>
      <c r="E35" s="348">
        <f t="shared" si="5"/>
        <v>0</v>
      </c>
      <c r="F35" s="347">
        <v>0</v>
      </c>
      <c r="G35" s="440">
        <f t="shared" si="6"/>
        <v>0</v>
      </c>
      <c r="H35" s="347">
        <v>6</v>
      </c>
      <c r="I35" s="348">
        <f t="shared" si="4"/>
        <v>0</v>
      </c>
      <c r="J35" s="349">
        <v>2</v>
      </c>
      <c r="K35" s="350">
        <f t="shared" si="2"/>
        <v>0</v>
      </c>
    </row>
    <row r="36" spans="1:11" x14ac:dyDescent="0.2">
      <c r="A36" s="344" t="s">
        <v>387</v>
      </c>
      <c r="B36" s="345">
        <v>6</v>
      </c>
      <c r="C36" s="346">
        <v>0</v>
      </c>
      <c r="D36" s="347">
        <v>0</v>
      </c>
      <c r="E36" s="348">
        <f t="shared" si="5"/>
        <v>0</v>
      </c>
      <c r="F36" s="347">
        <v>0</v>
      </c>
      <c r="G36" s="440">
        <f t="shared" si="6"/>
        <v>0</v>
      </c>
      <c r="H36" s="347">
        <v>9</v>
      </c>
      <c r="I36" s="348">
        <f t="shared" si="4"/>
        <v>0</v>
      </c>
      <c r="J36" s="349">
        <v>2</v>
      </c>
      <c r="K36" s="350">
        <f t="shared" si="2"/>
        <v>0</v>
      </c>
    </row>
    <row r="37" spans="1:11" ht="13.5" thickBot="1" x14ac:dyDescent="0.25">
      <c r="A37" s="363" t="s">
        <v>388</v>
      </c>
      <c r="B37" s="354">
        <v>3</v>
      </c>
      <c r="C37" s="355">
        <v>0</v>
      </c>
      <c r="D37" s="356">
        <v>6</v>
      </c>
      <c r="E37" s="364">
        <f t="shared" si="5"/>
        <v>0</v>
      </c>
      <c r="F37" s="441">
        <v>3</v>
      </c>
      <c r="G37" s="440">
        <f t="shared" si="6"/>
        <v>0</v>
      </c>
      <c r="H37" s="356">
        <v>9</v>
      </c>
      <c r="I37" s="364">
        <f t="shared" si="4"/>
        <v>0</v>
      </c>
      <c r="J37" s="357">
        <v>15</v>
      </c>
      <c r="K37" s="358">
        <f t="shared" si="2"/>
        <v>0</v>
      </c>
    </row>
    <row r="38" spans="1:11" ht="13.5" thickBot="1" x14ac:dyDescent="0.25">
      <c r="A38" s="899" t="s">
        <v>316</v>
      </c>
      <c r="B38" s="900"/>
      <c r="C38" s="901"/>
      <c r="D38" s="365"/>
      <c r="E38" s="1528">
        <f>SUM(E21:E37)</f>
        <v>0</v>
      </c>
      <c r="F38" s="439"/>
      <c r="G38" s="1528">
        <f>SUM(G21:G37)</f>
        <v>0</v>
      </c>
      <c r="H38" s="365"/>
      <c r="I38" s="1528">
        <f>SUM(I21:I37)</f>
        <v>0</v>
      </c>
      <c r="J38" s="366"/>
      <c r="K38" s="1529">
        <f>SUM(K21:K37)</f>
        <v>0</v>
      </c>
    </row>
    <row r="39" spans="1:11" ht="13.5" thickBot="1" x14ac:dyDescent="0.25">
      <c r="A39" s="896" t="s">
        <v>428</v>
      </c>
      <c r="B39" s="897"/>
      <c r="C39" s="898"/>
      <c r="D39" s="902">
        <f>ROUND((E38/'Quadro Resumo M² - CEARB'!F16),2)</f>
        <v>0</v>
      </c>
      <c r="E39" s="903"/>
      <c r="F39" s="902">
        <f>ROUND((G38/'Quadro Resumo M² - CEMAR'!F16),2)</f>
        <v>0</v>
      </c>
      <c r="G39" s="903"/>
      <c r="H39" s="902">
        <f>ROUND((I38/'Quadro Resumo M² - CEPRE'!F19),2)</f>
        <v>0</v>
      </c>
      <c r="I39" s="903"/>
      <c r="J39" s="916">
        <f>ROUND((K38/'Quadro Resumo M² - CESJR'!F22),2)</f>
        <v>0</v>
      </c>
      <c r="K39" s="917"/>
    </row>
    <row r="40" spans="1:11" s="132" customFormat="1" x14ac:dyDescent="0.2">
      <c r="A40" s="885"/>
      <c r="B40" s="885"/>
      <c r="C40" s="885"/>
      <c r="D40" s="885"/>
      <c r="E40" s="885"/>
      <c r="F40" s="886"/>
      <c r="G40" s="886"/>
      <c r="H40" s="885"/>
      <c r="I40" s="885"/>
      <c r="J40" s="885"/>
      <c r="K40" s="885"/>
    </row>
    <row r="109" spans="5:5" x14ac:dyDescent="0.2">
      <c r="E109" s="49">
        <f>'Uniformes e EPI''s'!I38</f>
        <v>0</v>
      </c>
    </row>
  </sheetData>
  <mergeCells count="26">
    <mergeCell ref="A18:K18"/>
    <mergeCell ref="J5:K5"/>
    <mergeCell ref="J39:K39"/>
    <mergeCell ref="D5:E5"/>
    <mergeCell ref="H5:I5"/>
    <mergeCell ref="A5:A6"/>
    <mergeCell ref="F5:G5"/>
    <mergeCell ref="F19:G19"/>
    <mergeCell ref="F39:G39"/>
    <mergeCell ref="A1:K1"/>
    <mergeCell ref="A2:K2"/>
    <mergeCell ref="A3:K3"/>
    <mergeCell ref="B5:B6"/>
    <mergeCell ref="C5:C6"/>
    <mergeCell ref="A4:K4"/>
    <mergeCell ref="A40:K40"/>
    <mergeCell ref="A19:A20"/>
    <mergeCell ref="B19:B20"/>
    <mergeCell ref="C19:C20"/>
    <mergeCell ref="J19:K19"/>
    <mergeCell ref="D19:E19"/>
    <mergeCell ref="H19:I19"/>
    <mergeCell ref="A39:C39"/>
    <mergeCell ref="A38:C38"/>
    <mergeCell ref="D39:E39"/>
    <mergeCell ref="H39:I39"/>
  </mergeCells>
  <printOptions horizontalCentered="1"/>
  <pageMargins left="0.78740157480314965" right="0.78740157480314965" top="0.78740157480314965" bottom="0.78740157480314965" header="0.31496062992125984" footer="0.31496062992125984"/>
  <pageSetup paperSize="9" scale="80" orientation="landscape" r:id="rId1"/>
  <headerFooter>
    <oddHeader>&amp;RPlanilhas MODELO LICITANTE</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8EA9DB"/>
  </sheetPr>
  <dimension ref="A1:H148"/>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478</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175</v>
      </c>
      <c r="G16" s="1017"/>
      <c r="H16" s="3"/>
    </row>
    <row r="17" spans="1:8" ht="14.1" customHeight="1" x14ac:dyDescent="0.2">
      <c r="A17" s="1000" t="s">
        <v>21</v>
      </c>
      <c r="B17" s="1001"/>
      <c r="C17" s="1001"/>
      <c r="D17" s="1001"/>
      <c r="E17" s="1002"/>
      <c r="F17" s="1016" t="s">
        <v>148</v>
      </c>
      <c r="G17" s="1017"/>
      <c r="H17" s="3"/>
    </row>
    <row r="18" spans="1:8" ht="14.1" customHeight="1" x14ac:dyDescent="0.2">
      <c r="A18" s="1000" t="s">
        <v>1</v>
      </c>
      <c r="B18" s="1001"/>
      <c r="C18" s="1001"/>
      <c r="D18" s="1001"/>
      <c r="E18" s="1002"/>
      <c r="F18" s="1010">
        <v>1717.2</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2</v>
      </c>
      <c r="G22" s="1009"/>
    </row>
    <row r="23" spans="1:8" ht="12.75" customHeight="1" x14ac:dyDescent="0.2">
      <c r="A23" s="1005" t="s">
        <v>25</v>
      </c>
      <c r="B23" s="1006"/>
      <c r="C23" s="1006"/>
      <c r="D23" s="1006"/>
      <c r="E23" s="1007"/>
      <c r="F23" s="1018" t="s">
        <v>214</v>
      </c>
      <c r="G23" s="1019"/>
    </row>
    <row r="24" spans="1:8" ht="25.5" customHeight="1" x14ac:dyDescent="0.2">
      <c r="A24" s="996" t="s">
        <v>475</v>
      </c>
      <c r="B24" s="997"/>
      <c r="C24" s="997"/>
      <c r="D24" s="997"/>
      <c r="E24" s="997"/>
      <c r="F24" s="997"/>
      <c r="G24" s="998"/>
    </row>
    <row r="25" spans="1:8" x14ac:dyDescent="0.2">
      <c r="A25" s="948" t="s">
        <v>2</v>
      </c>
      <c r="B25" s="949"/>
      <c r="C25" s="949"/>
      <c r="D25" s="949"/>
      <c r="E25" s="949"/>
      <c r="F25" s="950"/>
      <c r="G25" s="951"/>
    </row>
    <row r="26" spans="1:8" x14ac:dyDescent="0.2">
      <c r="A26" s="99">
        <v>1</v>
      </c>
      <c r="B26" s="999" t="s">
        <v>26</v>
      </c>
      <c r="C26" s="999"/>
      <c r="D26" s="999"/>
      <c r="E26" s="999"/>
      <c r="F26" s="80" t="s">
        <v>27</v>
      </c>
      <c r="G26" s="100" t="s">
        <v>3</v>
      </c>
    </row>
    <row r="27" spans="1:8" s="35" customFormat="1" x14ac:dyDescent="0.2">
      <c r="A27" s="101" t="s">
        <v>28</v>
      </c>
      <c r="B27" s="995" t="s">
        <v>153</v>
      </c>
      <c r="C27" s="995"/>
      <c r="D27" s="995"/>
      <c r="E27" s="995"/>
      <c r="F27" s="102">
        <v>1</v>
      </c>
      <c r="G27" s="103">
        <f>F18*F27</f>
        <v>1717.2</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2324.4</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193.62</v>
      </c>
      <c r="H37" s="54"/>
    </row>
    <row r="38" spans="1:8" x14ac:dyDescent="0.2">
      <c r="A38" s="108" t="s">
        <v>29</v>
      </c>
      <c r="B38" s="977" t="s">
        <v>157</v>
      </c>
      <c r="C38" s="978"/>
      <c r="D38" s="978"/>
      <c r="E38" s="990"/>
      <c r="F38" s="109">
        <f>ROUND((1/11)+(1/11)/3, 3)</f>
        <v>0.121</v>
      </c>
      <c r="G38" s="8">
        <f>ROUND(G$34*F38,2)</f>
        <v>281.25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963" t="s">
        <v>41</v>
      </c>
      <c r="B41" s="964"/>
      <c r="C41" s="964"/>
      <c r="D41" s="964"/>
      <c r="E41" s="962"/>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92"/>
      <c r="F43" s="44">
        <v>0.2</v>
      </c>
      <c r="G43" s="22">
        <f>ROUND((G$34)*F43,2)</f>
        <v>464.88</v>
      </c>
      <c r="H43" s="4"/>
    </row>
    <row r="44" spans="1:8" x14ac:dyDescent="0.2">
      <c r="A44" s="37" t="s">
        <v>29</v>
      </c>
      <c r="B44" s="975" t="s">
        <v>43</v>
      </c>
      <c r="C44" s="976"/>
      <c r="D44" s="976"/>
      <c r="E44" s="989"/>
      <c r="F44" s="106">
        <v>2.5000000000000001E-2</v>
      </c>
      <c r="G44" s="113">
        <f>ROUND((G$34)*F44,2)</f>
        <v>58.11</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34.869999999999997</v>
      </c>
      <c r="H46" s="4"/>
    </row>
    <row r="47" spans="1:8" x14ac:dyDescent="0.2">
      <c r="A47" s="37" t="s">
        <v>32</v>
      </c>
      <c r="B47" s="975" t="s">
        <v>46</v>
      </c>
      <c r="C47" s="976"/>
      <c r="D47" s="976"/>
      <c r="E47" s="989"/>
      <c r="F47" s="106">
        <v>0.01</v>
      </c>
      <c r="G47" s="113">
        <f t="shared" si="0"/>
        <v>23.24</v>
      </c>
      <c r="H47" s="4"/>
    </row>
    <row r="48" spans="1:8" x14ac:dyDescent="0.2">
      <c r="A48" s="37" t="s">
        <v>34</v>
      </c>
      <c r="B48" s="975" t="s">
        <v>47</v>
      </c>
      <c r="C48" s="976"/>
      <c r="D48" s="976"/>
      <c r="E48" s="989"/>
      <c r="F48" s="106">
        <v>6.0000000000000001E-3</v>
      </c>
      <c r="G48" s="113">
        <f t="shared" si="0"/>
        <v>13.95</v>
      </c>
      <c r="H48" s="4"/>
    </row>
    <row r="49" spans="1:8" x14ac:dyDescent="0.2">
      <c r="A49" s="37" t="s">
        <v>48</v>
      </c>
      <c r="B49" s="975" t="s">
        <v>49</v>
      </c>
      <c r="C49" s="976"/>
      <c r="D49" s="976"/>
      <c r="E49" s="989"/>
      <c r="F49" s="106">
        <v>2E-3</v>
      </c>
      <c r="G49" s="113">
        <f t="shared" si="0"/>
        <v>4.6500000000000004</v>
      </c>
      <c r="H49" s="4"/>
    </row>
    <row r="50" spans="1:8" x14ac:dyDescent="0.2">
      <c r="A50" s="108" t="s">
        <v>50</v>
      </c>
      <c r="B50" s="977" t="s">
        <v>51</v>
      </c>
      <c r="C50" s="978"/>
      <c r="D50" s="978"/>
      <c r="E50" s="990"/>
      <c r="F50" s="109">
        <v>0.08</v>
      </c>
      <c r="G50" s="113">
        <f t="shared" si="0"/>
        <v>185.95</v>
      </c>
      <c r="H50" s="4"/>
    </row>
    <row r="51" spans="1:8" x14ac:dyDescent="0.2">
      <c r="A51" s="963" t="s">
        <v>52</v>
      </c>
      <c r="B51" s="964"/>
      <c r="C51" s="964"/>
      <c r="D51" s="964"/>
      <c r="E51" s="962"/>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29</v>
      </c>
      <c r="B54" s="981" t="s">
        <v>56</v>
      </c>
      <c r="C54" s="982"/>
      <c r="D54" s="982"/>
      <c r="E54" s="115">
        <f>20.76-1.39</f>
        <v>19.37</v>
      </c>
      <c r="F54" s="116">
        <v>21</v>
      </c>
      <c r="G54" s="103">
        <f>ROUND((E54*F54),2)</f>
        <v>406.77</v>
      </c>
      <c r="H54" s="36"/>
    </row>
    <row r="55" spans="1:8" s="35" customFormat="1" x14ac:dyDescent="0.2">
      <c r="A55" s="37" t="s">
        <v>30</v>
      </c>
      <c r="B55" s="981" t="s">
        <v>58</v>
      </c>
      <c r="C55" s="982"/>
      <c r="D55" s="982"/>
      <c r="E55" s="115">
        <v>144.68</v>
      </c>
      <c r="F55" s="116">
        <v>1</v>
      </c>
      <c r="G55" s="103">
        <f>ROUND((E55*F55),2)</f>
        <v>144.68</v>
      </c>
      <c r="H55" s="36"/>
    </row>
    <row r="56" spans="1:8" s="35" customFormat="1" x14ac:dyDescent="0.2">
      <c r="A56" s="37" t="s">
        <v>31</v>
      </c>
      <c r="B56" s="981" t="s">
        <v>149</v>
      </c>
      <c r="C56" s="982"/>
      <c r="D56" s="982"/>
      <c r="E56" s="115">
        <v>35.33</v>
      </c>
      <c r="F56" s="116">
        <v>1</v>
      </c>
      <c r="G56" s="103">
        <f>ROUND((E56*F56),2)</f>
        <v>35.33</v>
      </c>
      <c r="H56" s="36"/>
    </row>
    <row r="57" spans="1:8" s="35" customFormat="1" x14ac:dyDescent="0.2">
      <c r="A57" s="37" t="s">
        <v>32</v>
      </c>
      <c r="B57" s="981" t="s">
        <v>179</v>
      </c>
      <c r="C57" s="982"/>
      <c r="D57" s="982"/>
      <c r="E57" s="738">
        <f>ROUND((F18*30%)*5%,2)*0</f>
        <v>0</v>
      </c>
      <c r="F57" s="116">
        <v>1</v>
      </c>
      <c r="G57" s="103">
        <f>ROUND((E57*F57),2)</f>
        <v>0</v>
      </c>
      <c r="H57" s="36"/>
    </row>
    <row r="58" spans="1:8" s="35" customFormat="1" x14ac:dyDescent="0.2">
      <c r="A58" s="37" t="s">
        <v>34</v>
      </c>
      <c r="B58" s="981" t="s">
        <v>150</v>
      </c>
      <c r="C58" s="982"/>
      <c r="D58" s="982"/>
      <c r="E58" s="115">
        <f>20.76</f>
        <v>20.76</v>
      </c>
      <c r="F58" s="116">
        <v>1</v>
      </c>
      <c r="G58" s="103">
        <f>ROUND((E58*F58)/12,2)</f>
        <v>1.73</v>
      </c>
      <c r="H58" s="36"/>
    </row>
    <row r="59" spans="1:8" s="35" customFormat="1" x14ac:dyDescent="0.2">
      <c r="A59" s="37" t="s">
        <v>48</v>
      </c>
      <c r="B59" s="987" t="s">
        <v>180</v>
      </c>
      <c r="C59" s="988"/>
      <c r="D59" s="988"/>
      <c r="E59" s="115">
        <f>15.96</f>
        <v>15.96</v>
      </c>
      <c r="F59" s="117">
        <v>1</v>
      </c>
      <c r="G59" s="118">
        <f>ROUND((E59*F59),2)</f>
        <v>15.96</v>
      </c>
      <c r="H59" s="36"/>
    </row>
    <row r="60" spans="1:8" s="35" customFormat="1" x14ac:dyDescent="0.2">
      <c r="A60" s="37" t="s">
        <v>50</v>
      </c>
      <c r="B60" s="981" t="s">
        <v>254</v>
      </c>
      <c r="C60" s="982"/>
      <c r="D60" s="982"/>
      <c r="E60" s="115">
        <v>300</v>
      </c>
      <c r="F60" s="116">
        <v>1</v>
      </c>
      <c r="G60" s="103">
        <f>ROUND((E60*F60),2)</f>
        <v>300</v>
      </c>
      <c r="H60" s="36"/>
    </row>
    <row r="61" spans="1:8" s="35" customFormat="1" x14ac:dyDescent="0.2">
      <c r="A61" s="101" t="s">
        <v>151</v>
      </c>
      <c r="B61" s="981" t="s">
        <v>152</v>
      </c>
      <c r="C61" s="982"/>
      <c r="D61" s="982"/>
      <c r="E61" s="115">
        <v>0</v>
      </c>
      <c r="F61" s="116">
        <v>1</v>
      </c>
      <c r="G61" s="119">
        <f>ROUND((E61*F61),2)</f>
        <v>0</v>
      </c>
      <c r="H61" s="36"/>
    </row>
    <row r="62" spans="1:8" s="35" customFormat="1" x14ac:dyDescent="0.2">
      <c r="A62" s="37" t="s">
        <v>417</v>
      </c>
      <c r="B62" s="985" t="s">
        <v>152</v>
      </c>
      <c r="C62" s="986"/>
      <c r="D62" s="986"/>
      <c r="E62" s="120">
        <v>0</v>
      </c>
      <c r="F62" s="116">
        <v>1</v>
      </c>
      <c r="G62" s="103">
        <v>0</v>
      </c>
      <c r="H62" s="36"/>
    </row>
    <row r="63" spans="1:8" x14ac:dyDescent="0.2">
      <c r="A63" s="936" t="s">
        <v>60</v>
      </c>
      <c r="B63" s="937"/>
      <c r="C63" s="937"/>
      <c r="D63" s="937"/>
      <c r="E63" s="937"/>
      <c r="F63" s="938"/>
      <c r="G63" s="105">
        <f>SUM(G53:G62)</f>
        <v>904.47</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635.49</v>
      </c>
      <c r="H65" s="4"/>
    </row>
    <row r="66" spans="1:8" x14ac:dyDescent="0.2">
      <c r="A66" s="121" t="s">
        <v>64</v>
      </c>
      <c r="B66" s="927" t="s">
        <v>128</v>
      </c>
      <c r="C66" s="928"/>
      <c r="D66" s="928"/>
      <c r="E66" s="928"/>
      <c r="F66" s="18">
        <f>F51</f>
        <v>0.33800000000000002</v>
      </c>
      <c r="G66" s="122">
        <f>G51</f>
        <v>785.65</v>
      </c>
      <c r="H66" s="4"/>
    </row>
    <row r="67" spans="1:8" x14ac:dyDescent="0.2">
      <c r="A67" s="121" t="s">
        <v>65</v>
      </c>
      <c r="B67" s="927" t="s">
        <v>66</v>
      </c>
      <c r="C67" s="928"/>
      <c r="D67" s="928"/>
      <c r="E67" s="928"/>
      <c r="F67" s="929"/>
      <c r="G67" s="122">
        <f>G63</f>
        <v>904.47</v>
      </c>
      <c r="H67" s="4"/>
    </row>
    <row r="68" spans="1:8" x14ac:dyDescent="0.2">
      <c r="A68" s="936" t="s">
        <v>67</v>
      </c>
      <c r="B68" s="937"/>
      <c r="C68" s="937"/>
      <c r="D68" s="937"/>
      <c r="E68" s="937"/>
      <c r="F68" s="938"/>
      <c r="G68" s="105">
        <f>SUM(G65:G67)</f>
        <v>2325.61</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EPI''s'!E17</f>
        <v>0</v>
      </c>
      <c r="F108" s="24">
        <v>1</v>
      </c>
      <c r="G108" s="103">
        <f>ROUND(SUM(C108:E108),2)*F108</f>
        <v>0</v>
      </c>
      <c r="H108" s="4"/>
    </row>
    <row r="109" spans="1:8" s="35" customFormat="1" x14ac:dyDescent="0.2">
      <c r="A109" s="37" t="s">
        <v>29</v>
      </c>
      <c r="B109" s="967" t="str">
        <f>'Uniformes e EPI''s'!A19</f>
        <v>EPI's</v>
      </c>
      <c r="C109" s="920"/>
      <c r="D109" s="920"/>
      <c r="E109" s="45">
        <f>'Uniformes e EPI''s'!D39</f>
        <v>0</v>
      </c>
      <c r="F109" s="47">
        <v>1</v>
      </c>
      <c r="G109" s="103">
        <f>ROUND((E109*F109),2)</f>
        <v>0</v>
      </c>
      <c r="H109" s="36"/>
    </row>
    <row r="110" spans="1:8" s="35" customFormat="1" x14ac:dyDescent="0.2">
      <c r="A110" s="37" t="s">
        <v>30</v>
      </c>
      <c r="B110" s="919" t="s">
        <v>59</v>
      </c>
      <c r="C110" s="920"/>
      <c r="D110" s="920"/>
      <c r="E110" s="45">
        <v>0</v>
      </c>
      <c r="F110" s="48">
        <v>1</v>
      </c>
      <c r="G110" s="103">
        <f t="shared" ref="G110:G115" si="3">ROUND((E110*F110),2)</f>
        <v>0</v>
      </c>
      <c r="H110" s="36"/>
    </row>
    <row r="111" spans="1:8" s="35" customFormat="1" x14ac:dyDescent="0.2">
      <c r="A111" s="165" t="s">
        <v>31</v>
      </c>
      <c r="B111" s="919" t="s">
        <v>59</v>
      </c>
      <c r="C111" s="920"/>
      <c r="D111" s="920"/>
      <c r="E111" s="45">
        <v>0</v>
      </c>
      <c r="F111" s="48">
        <v>1</v>
      </c>
      <c r="G111" s="103">
        <f t="shared" si="3"/>
        <v>0</v>
      </c>
      <c r="H111" s="36"/>
    </row>
    <row r="112" spans="1:8" s="35" customFormat="1" x14ac:dyDescent="0.2">
      <c r="A112" s="37" t="s">
        <v>32</v>
      </c>
      <c r="B112" s="919" t="s">
        <v>59</v>
      </c>
      <c r="C112" s="920"/>
      <c r="D112" s="920"/>
      <c r="E112" s="45">
        <v>0</v>
      </c>
      <c r="F112" s="48">
        <v>1</v>
      </c>
      <c r="G112" s="103">
        <f t="shared" si="3"/>
        <v>0</v>
      </c>
      <c r="H112" s="36"/>
    </row>
    <row r="113" spans="1:8" s="35" customFormat="1" x14ac:dyDescent="0.2">
      <c r="A113" s="37" t="s">
        <v>34</v>
      </c>
      <c r="B113" s="919" t="s">
        <v>59</v>
      </c>
      <c r="C113" s="920"/>
      <c r="D113" s="920"/>
      <c r="E113" s="45">
        <v>0</v>
      </c>
      <c r="F113" s="48">
        <v>1</v>
      </c>
      <c r="G113" s="103">
        <f t="shared" si="3"/>
        <v>0</v>
      </c>
      <c r="H113" s="36"/>
    </row>
    <row r="114" spans="1:8" s="35" customFormat="1" x14ac:dyDescent="0.2">
      <c r="A114" s="165" t="s">
        <v>48</v>
      </c>
      <c r="B114" s="919" t="s">
        <v>59</v>
      </c>
      <c r="C114" s="920"/>
      <c r="D114" s="920"/>
      <c r="E114" s="45">
        <v>0</v>
      </c>
      <c r="F114" s="48">
        <v>1</v>
      </c>
      <c r="G114" s="103">
        <f t="shared" si="3"/>
        <v>0</v>
      </c>
      <c r="H114" s="36"/>
    </row>
    <row r="115" spans="1:8" s="35" customFormat="1" x14ac:dyDescent="0.2">
      <c r="A115" s="37" t="s">
        <v>50</v>
      </c>
      <c r="B115" s="968" t="s">
        <v>59</v>
      </c>
      <c r="C115" s="969"/>
      <c r="D115" s="969"/>
      <c r="E115" s="45">
        <v>0</v>
      </c>
      <c r="F115" s="48">
        <v>1</v>
      </c>
      <c r="G115" s="103">
        <f t="shared" si="3"/>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0.04</v>
      </c>
      <c r="G124" s="107">
        <f ca="1">ROUND(G$139*F124,2)</f>
        <v>193.75</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0.04</v>
      </c>
      <c r="G127" s="129">
        <f ca="1">SUM(G122:G126)</f>
        <v>193.75</v>
      </c>
      <c r="H127" s="4">
        <f ca="1">ROUND(G139*F127,2)</f>
        <v>193.75</v>
      </c>
    </row>
    <row r="128" spans="1:8" x14ac:dyDescent="0.2">
      <c r="A128" s="936" t="s">
        <v>104</v>
      </c>
      <c r="B128" s="937"/>
      <c r="C128" s="937"/>
      <c r="D128" s="937"/>
      <c r="E128" s="937"/>
      <c r="F128" s="23">
        <f>SUM(F119,F120,F127)</f>
        <v>0.04</v>
      </c>
      <c r="G128" s="126">
        <f ca="1">SUM(G119:G126)</f>
        <v>193.75</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2324.4</v>
      </c>
      <c r="H130" s="4"/>
    </row>
    <row r="131" spans="1:8" x14ac:dyDescent="0.2">
      <c r="A131" s="121" t="s">
        <v>29</v>
      </c>
      <c r="B131" s="927" t="s">
        <v>107</v>
      </c>
      <c r="C131" s="928"/>
      <c r="D131" s="928"/>
      <c r="E131" s="928"/>
      <c r="F131" s="929"/>
      <c r="G131" s="122">
        <f>G68</f>
        <v>2325.61</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4650.01</v>
      </c>
      <c r="H135" s="4"/>
    </row>
    <row r="136" spans="1:8" x14ac:dyDescent="0.2">
      <c r="A136" s="121" t="s">
        <v>34</v>
      </c>
      <c r="B136" s="933" t="s">
        <v>112</v>
      </c>
      <c r="C136" s="934"/>
      <c r="D136" s="934"/>
      <c r="E136" s="934"/>
      <c r="F136" s="935"/>
      <c r="G136" s="122">
        <f ca="1">G128</f>
        <v>193.75</v>
      </c>
      <c r="H136" s="4"/>
    </row>
    <row r="137" spans="1:8" x14ac:dyDescent="0.2">
      <c r="A137" s="936" t="s">
        <v>113</v>
      </c>
      <c r="B137" s="937"/>
      <c r="C137" s="937"/>
      <c r="D137" s="937"/>
      <c r="E137" s="937"/>
      <c r="F137" s="938"/>
      <c r="G137" s="105">
        <f ca="1">SUM(G135:G136)</f>
        <v>4843.76</v>
      </c>
      <c r="H137" s="4">
        <f ca="1">SUM(G130:G136)-G135</f>
        <v>4843.76</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4843.76</v>
      </c>
      <c r="H139" s="4"/>
    </row>
    <row r="140" spans="1:8" x14ac:dyDescent="0.2">
      <c r="A140" s="766"/>
      <c r="B140" s="767" t="s">
        <v>115</v>
      </c>
      <c r="C140" s="767"/>
      <c r="D140" s="767"/>
      <c r="E140" s="767"/>
      <c r="F140" s="768">
        <f>F21</f>
        <v>1</v>
      </c>
      <c r="G140" s="775">
        <f ca="1">G139*F140</f>
        <v>4843.76</v>
      </c>
      <c r="H140" s="4"/>
    </row>
    <row r="141" spans="1:8" x14ac:dyDescent="0.2">
      <c r="F141" s="6"/>
    </row>
    <row r="148" spans="7:7" x14ac:dyDescent="0.2">
      <c r="G148" s="33"/>
    </row>
  </sheetData>
  <mergeCells count="149">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 ref="F18:G18"/>
    <mergeCell ref="A19:E19"/>
    <mergeCell ref="F19:G19"/>
    <mergeCell ref="A14:G14"/>
    <mergeCell ref="A15:E15"/>
    <mergeCell ref="F15:G15"/>
    <mergeCell ref="A16:E16"/>
    <mergeCell ref="F16:G16"/>
    <mergeCell ref="A23:E23"/>
    <mergeCell ref="F23:G23"/>
    <mergeCell ref="A24:G24"/>
    <mergeCell ref="A25:G25"/>
    <mergeCell ref="B26:E26"/>
    <mergeCell ref="A20:E20"/>
    <mergeCell ref="F20:G20"/>
    <mergeCell ref="A21:E21"/>
    <mergeCell ref="F21:G21"/>
    <mergeCell ref="A22:E22"/>
    <mergeCell ref="F22:G22"/>
    <mergeCell ref="B33:E33"/>
    <mergeCell ref="A34:F34"/>
    <mergeCell ref="A35:G35"/>
    <mergeCell ref="A36:G36"/>
    <mergeCell ref="B37:E37"/>
    <mergeCell ref="B27:E27"/>
    <mergeCell ref="B28:E28"/>
    <mergeCell ref="B29:E29"/>
    <mergeCell ref="B31:E31"/>
    <mergeCell ref="B32:E32"/>
    <mergeCell ref="B30:E30"/>
    <mergeCell ref="B44:E44"/>
    <mergeCell ref="B45:E45"/>
    <mergeCell ref="B46:E46"/>
    <mergeCell ref="B47:E47"/>
    <mergeCell ref="B48:E48"/>
    <mergeCell ref="B38:E38"/>
    <mergeCell ref="B39:E39"/>
    <mergeCell ref="A41:E41"/>
    <mergeCell ref="A42:G42"/>
    <mergeCell ref="B43:E43"/>
    <mergeCell ref="B57:D57"/>
    <mergeCell ref="B58:D58"/>
    <mergeCell ref="A63:F63"/>
    <mergeCell ref="A64:G64"/>
    <mergeCell ref="A52:G52"/>
    <mergeCell ref="B53:D53"/>
    <mergeCell ref="B54:D54"/>
    <mergeCell ref="B55:D55"/>
    <mergeCell ref="B56:D56"/>
    <mergeCell ref="B62:D62"/>
    <mergeCell ref="B61:D61"/>
    <mergeCell ref="B60:D60"/>
    <mergeCell ref="B59:D59"/>
    <mergeCell ref="B71:E71"/>
    <mergeCell ref="B72:E72"/>
    <mergeCell ref="B73:E73"/>
    <mergeCell ref="B74:E74"/>
    <mergeCell ref="B75:E75"/>
    <mergeCell ref="B65:E65"/>
    <mergeCell ref="B66:E66"/>
    <mergeCell ref="B67:F67"/>
    <mergeCell ref="A68:F68"/>
    <mergeCell ref="A69:G69"/>
    <mergeCell ref="B81:E81"/>
    <mergeCell ref="B82:E82"/>
    <mergeCell ref="B83:E83"/>
    <mergeCell ref="B84:E84"/>
    <mergeCell ref="B85:E85"/>
    <mergeCell ref="B76:E76"/>
    <mergeCell ref="A77:E77"/>
    <mergeCell ref="A78:G78"/>
    <mergeCell ref="A79:G79"/>
    <mergeCell ref="B80:E80"/>
    <mergeCell ref="B91:E91"/>
    <mergeCell ref="A92:E92"/>
    <mergeCell ref="A93:G93"/>
    <mergeCell ref="B94:E94"/>
    <mergeCell ref="A86:E86"/>
    <mergeCell ref="A87:G87"/>
    <mergeCell ref="B88:E88"/>
    <mergeCell ref="B89:E89"/>
    <mergeCell ref="B90:E90"/>
    <mergeCell ref="A107:G107"/>
    <mergeCell ref="A117:G117"/>
    <mergeCell ref="A96:E96"/>
    <mergeCell ref="A101:G101"/>
    <mergeCell ref="B102:E102"/>
    <mergeCell ref="B103:E103"/>
    <mergeCell ref="A97:G97"/>
    <mergeCell ref="B98:E98"/>
    <mergeCell ref="A100:E100"/>
    <mergeCell ref="A116:F116"/>
    <mergeCell ref="B105:E105"/>
    <mergeCell ref="B108:D108"/>
    <mergeCell ref="B109:D109"/>
    <mergeCell ref="B110:D110"/>
    <mergeCell ref="B111:D111"/>
    <mergeCell ref="B112:D112"/>
    <mergeCell ref="B113:D113"/>
    <mergeCell ref="B115:D115"/>
    <mergeCell ref="B114:D114"/>
    <mergeCell ref="B125:E125"/>
    <mergeCell ref="B95:E95"/>
    <mergeCell ref="B99:E99"/>
    <mergeCell ref="B134:F134"/>
    <mergeCell ref="B135:F135"/>
    <mergeCell ref="B136:F136"/>
    <mergeCell ref="A137:F137"/>
    <mergeCell ref="A138:G138"/>
    <mergeCell ref="B119:E119"/>
    <mergeCell ref="B120:E120"/>
    <mergeCell ref="B121:E121"/>
    <mergeCell ref="B122:E122"/>
    <mergeCell ref="B123:E123"/>
    <mergeCell ref="B126:E126"/>
    <mergeCell ref="B127:E127"/>
    <mergeCell ref="A128:E128"/>
    <mergeCell ref="A129:G129"/>
    <mergeCell ref="B130:F130"/>
    <mergeCell ref="B131:F131"/>
    <mergeCell ref="B132:F132"/>
    <mergeCell ref="B133:F133"/>
    <mergeCell ref="B124:E124"/>
    <mergeCell ref="B104:E104"/>
    <mergeCell ref="A106:F10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H148"/>
  <sheetViews>
    <sheetView view="pageBreakPreview" topLeftCell="A101"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478</v>
      </c>
      <c r="G7" s="1036"/>
    </row>
    <row r="8" spans="1:8" ht="19.5" customHeight="1" x14ac:dyDescent="0.2">
      <c r="A8" s="1040" t="s">
        <v>215</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464</v>
      </c>
      <c r="B10" s="1001"/>
      <c r="C10" s="1001"/>
      <c r="D10" s="1001"/>
      <c r="E10" s="1002"/>
      <c r="F10" s="1037" t="s">
        <v>463</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216</v>
      </c>
      <c r="G16" s="1017"/>
      <c r="H16" s="3"/>
    </row>
    <row r="17" spans="1:8" ht="14.1" customHeight="1" x14ac:dyDescent="0.2">
      <c r="A17" s="1000" t="s">
        <v>21</v>
      </c>
      <c r="B17" s="1001"/>
      <c r="C17" s="1001"/>
      <c r="D17" s="1001"/>
      <c r="E17" s="1002"/>
      <c r="F17" s="1016" t="s">
        <v>218</v>
      </c>
      <c r="G17" s="1017"/>
      <c r="H17" s="3"/>
    </row>
    <row r="18" spans="1:8" ht="14.1" customHeight="1" x14ac:dyDescent="0.2">
      <c r="A18" s="1000" t="s">
        <v>1</v>
      </c>
      <c r="B18" s="1001"/>
      <c r="C18" s="1001"/>
      <c r="D18" s="1001"/>
      <c r="E18" s="1002"/>
      <c r="F18" s="1010">
        <v>1732.39</v>
      </c>
      <c r="G18" s="1011"/>
    </row>
    <row r="19" spans="1:8" ht="14.1" customHeight="1" x14ac:dyDescent="0.2">
      <c r="A19" s="1005" t="s">
        <v>8</v>
      </c>
      <c r="B19" s="1006"/>
      <c r="C19" s="1006"/>
      <c r="D19" s="1006"/>
      <c r="E19" s="1007"/>
      <c r="F19" s="1012">
        <v>45717</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5.5" customHeight="1" x14ac:dyDescent="0.2">
      <c r="A24" s="1046" t="s">
        <v>476</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131" t="s">
        <v>27</v>
      </c>
      <c r="G26" s="100" t="s">
        <v>3</v>
      </c>
    </row>
    <row r="27" spans="1:8" s="35" customFormat="1" x14ac:dyDescent="0.2">
      <c r="A27" s="101" t="s">
        <v>28</v>
      </c>
      <c r="B27" s="995" t="s">
        <v>153</v>
      </c>
      <c r="C27" s="995"/>
      <c r="D27" s="995"/>
      <c r="E27" s="995"/>
      <c r="F27" s="102">
        <v>1</v>
      </c>
      <c r="G27" s="103">
        <f>F18*F27</f>
        <v>1732.39</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0.2</v>
      </c>
      <c r="G29" s="103">
        <f>ROUND(F15*F29,2)</f>
        <v>303.60000000000002</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2035.99</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169.6</v>
      </c>
      <c r="H37" s="54"/>
    </row>
    <row r="38" spans="1:8" x14ac:dyDescent="0.2">
      <c r="A38" s="108" t="s">
        <v>29</v>
      </c>
      <c r="B38" s="977" t="s">
        <v>157</v>
      </c>
      <c r="C38" s="978"/>
      <c r="D38" s="978"/>
      <c r="E38" s="990"/>
      <c r="F38" s="109">
        <f>ROUND((1/11)+(1/11)/3, 3)</f>
        <v>0.121</v>
      </c>
      <c r="G38" s="8">
        <f>ROUND(G$34*F38,2)</f>
        <v>246.35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963" t="s">
        <v>41</v>
      </c>
      <c r="B41" s="964"/>
      <c r="C41" s="964"/>
      <c r="D41" s="964"/>
      <c r="E41" s="962"/>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92"/>
      <c r="F43" s="44">
        <v>0.2</v>
      </c>
      <c r="G43" s="22">
        <f>ROUND((G$34)*F43,2)</f>
        <v>407.2</v>
      </c>
      <c r="H43" s="4"/>
    </row>
    <row r="44" spans="1:8" x14ac:dyDescent="0.2">
      <c r="A44" s="37" t="s">
        <v>29</v>
      </c>
      <c r="B44" s="975" t="s">
        <v>43</v>
      </c>
      <c r="C44" s="976"/>
      <c r="D44" s="976"/>
      <c r="E44" s="989"/>
      <c r="F44" s="106">
        <v>2.5000000000000001E-2</v>
      </c>
      <c r="G44" s="113">
        <f>ROUND((G$34)*F44,2)</f>
        <v>50.9</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30.54</v>
      </c>
      <c r="H46" s="4"/>
    </row>
    <row r="47" spans="1:8" x14ac:dyDescent="0.2">
      <c r="A47" s="37" t="s">
        <v>32</v>
      </c>
      <c r="B47" s="975" t="s">
        <v>46</v>
      </c>
      <c r="C47" s="976"/>
      <c r="D47" s="976"/>
      <c r="E47" s="989"/>
      <c r="F47" s="106">
        <v>0.01</v>
      </c>
      <c r="G47" s="113">
        <f t="shared" si="0"/>
        <v>20.36</v>
      </c>
      <c r="H47" s="4"/>
    </row>
    <row r="48" spans="1:8" x14ac:dyDescent="0.2">
      <c r="A48" s="37" t="s">
        <v>34</v>
      </c>
      <c r="B48" s="975" t="s">
        <v>47</v>
      </c>
      <c r="C48" s="976"/>
      <c r="D48" s="976"/>
      <c r="E48" s="989"/>
      <c r="F48" s="106">
        <v>6.0000000000000001E-3</v>
      </c>
      <c r="G48" s="113">
        <f t="shared" si="0"/>
        <v>12.22</v>
      </c>
      <c r="H48" s="4"/>
    </row>
    <row r="49" spans="1:8" x14ac:dyDescent="0.2">
      <c r="A49" s="37" t="s">
        <v>48</v>
      </c>
      <c r="B49" s="975" t="s">
        <v>49</v>
      </c>
      <c r="C49" s="976"/>
      <c r="D49" s="976"/>
      <c r="E49" s="989"/>
      <c r="F49" s="106">
        <v>2E-3</v>
      </c>
      <c r="G49" s="113">
        <f t="shared" si="0"/>
        <v>4.07</v>
      </c>
      <c r="H49" s="4"/>
    </row>
    <row r="50" spans="1:8" x14ac:dyDescent="0.2">
      <c r="A50" s="108" t="s">
        <v>50</v>
      </c>
      <c r="B50" s="977" t="s">
        <v>51</v>
      </c>
      <c r="C50" s="978"/>
      <c r="D50" s="978"/>
      <c r="E50" s="990"/>
      <c r="F50" s="109">
        <v>0.08</v>
      </c>
      <c r="G50" s="113">
        <f t="shared" si="0"/>
        <v>162.88</v>
      </c>
      <c r="H50" s="4"/>
    </row>
    <row r="51" spans="1:8" x14ac:dyDescent="0.2">
      <c r="A51" s="963" t="s">
        <v>52</v>
      </c>
      <c r="B51" s="964"/>
      <c r="C51" s="964"/>
      <c r="D51" s="964"/>
      <c r="E51" s="962"/>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29</v>
      </c>
      <c r="B54" s="981" t="s">
        <v>56</v>
      </c>
      <c r="C54" s="982"/>
      <c r="D54" s="982"/>
      <c r="E54" s="115">
        <f>(12.5-1.4)</f>
        <v>11.1</v>
      </c>
      <c r="F54" s="116">
        <v>21</v>
      </c>
      <c r="G54" s="103">
        <f>ROUND((E54*F54),2)</f>
        <v>233.1</v>
      </c>
      <c r="H54" s="36"/>
    </row>
    <row r="55" spans="1:8" s="35" customFormat="1" x14ac:dyDescent="0.2">
      <c r="A55" s="37" t="s">
        <v>30</v>
      </c>
      <c r="B55" s="981" t="s">
        <v>58</v>
      </c>
      <c r="C55" s="982"/>
      <c r="D55" s="982"/>
      <c r="E55" s="115">
        <f>138.6</f>
        <v>138.6</v>
      </c>
      <c r="F55" s="116">
        <v>1</v>
      </c>
      <c r="G55" s="103">
        <f>ROUND((E55*F55),2)</f>
        <v>138.6</v>
      </c>
      <c r="H55" s="36"/>
    </row>
    <row r="56" spans="1:8" s="35" customFormat="1" x14ac:dyDescent="0.2">
      <c r="A56" s="37" t="s">
        <v>31</v>
      </c>
      <c r="B56" s="981" t="s">
        <v>255</v>
      </c>
      <c r="C56" s="982"/>
      <c r="D56" s="982"/>
      <c r="E56" s="115">
        <v>34.94</v>
      </c>
      <c r="F56" s="116">
        <v>1</v>
      </c>
      <c r="G56" s="103">
        <f>ROUND((E56*F56),2)</f>
        <v>34.94</v>
      </c>
      <c r="H56" s="36"/>
    </row>
    <row r="57" spans="1:8" s="35" customFormat="1" x14ac:dyDescent="0.2">
      <c r="A57" s="37" t="s">
        <v>32</v>
      </c>
      <c r="B57" s="981" t="s">
        <v>179</v>
      </c>
      <c r="C57" s="982"/>
      <c r="D57" s="982"/>
      <c r="E57" s="738">
        <f>ROUND((F18*30%)*5%,2)*0</f>
        <v>0</v>
      </c>
      <c r="F57" s="116">
        <v>1</v>
      </c>
      <c r="G57" s="103">
        <f>ROUND((E57*F57),2)</f>
        <v>0</v>
      </c>
      <c r="H57" s="36"/>
    </row>
    <row r="58" spans="1:8" s="35" customFormat="1" x14ac:dyDescent="0.2">
      <c r="A58" s="37" t="s">
        <v>34</v>
      </c>
      <c r="B58" s="981" t="s">
        <v>217</v>
      </c>
      <c r="C58" s="982"/>
      <c r="D58" s="982"/>
      <c r="E58" s="115">
        <f>ROUND(((F18/220)*8)*1.5,2)</f>
        <v>94.49</v>
      </c>
      <c r="F58" s="116">
        <v>1</v>
      </c>
      <c r="G58" s="103">
        <f>ROUND((E58*F58)/12,2)</f>
        <v>7.87</v>
      </c>
      <c r="H58" s="36"/>
    </row>
    <row r="59" spans="1:8" s="35" customFormat="1" x14ac:dyDescent="0.2">
      <c r="A59" s="37" t="s">
        <v>48</v>
      </c>
      <c r="B59" s="987" t="s">
        <v>180</v>
      </c>
      <c r="C59" s="988"/>
      <c r="D59" s="988"/>
      <c r="E59" s="115">
        <f>9.31</f>
        <v>9.31</v>
      </c>
      <c r="F59" s="117">
        <v>1</v>
      </c>
      <c r="G59" s="118">
        <f>ROUND((E59*F59),2)</f>
        <v>9.31</v>
      </c>
      <c r="H59" s="36"/>
    </row>
    <row r="60" spans="1:8" s="35" customFormat="1" x14ac:dyDescent="0.2">
      <c r="A60" s="37" t="s">
        <v>50</v>
      </c>
      <c r="B60" s="981" t="s">
        <v>152</v>
      </c>
      <c r="C60" s="982"/>
      <c r="D60" s="982"/>
      <c r="E60" s="115">
        <v>0</v>
      </c>
      <c r="F60" s="116">
        <v>1</v>
      </c>
      <c r="G60" s="103">
        <f>ROUND((E60*F60)/12,2)</f>
        <v>0</v>
      </c>
      <c r="H60" s="36"/>
    </row>
    <row r="61" spans="1:8" s="35" customFormat="1" x14ac:dyDescent="0.2">
      <c r="A61" s="101" t="s">
        <v>151</v>
      </c>
      <c r="B61" s="981" t="s">
        <v>152</v>
      </c>
      <c r="C61" s="982"/>
      <c r="D61" s="982"/>
      <c r="E61" s="115">
        <v>0</v>
      </c>
      <c r="F61" s="116">
        <v>1</v>
      </c>
      <c r="G61" s="119">
        <f>ROUND((E61*F61),2)</f>
        <v>0</v>
      </c>
      <c r="H61" s="36"/>
    </row>
    <row r="62" spans="1:8" s="35" customFormat="1" x14ac:dyDescent="0.2">
      <c r="A62" s="37" t="s">
        <v>417</v>
      </c>
      <c r="B62" s="985" t="s">
        <v>152</v>
      </c>
      <c r="C62" s="986"/>
      <c r="D62" s="986"/>
      <c r="E62" s="120">
        <v>0</v>
      </c>
      <c r="F62" s="116">
        <v>1</v>
      </c>
      <c r="G62" s="103">
        <v>0</v>
      </c>
      <c r="H62" s="36"/>
    </row>
    <row r="63" spans="1:8" x14ac:dyDescent="0.2">
      <c r="A63" s="936" t="s">
        <v>60</v>
      </c>
      <c r="B63" s="937"/>
      <c r="C63" s="937"/>
      <c r="D63" s="937"/>
      <c r="E63" s="937"/>
      <c r="F63" s="938"/>
      <c r="G63" s="105">
        <f>SUM(G53:G62)</f>
        <v>423.82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556.64</v>
      </c>
      <c r="H65" s="4"/>
    </row>
    <row r="66" spans="1:8" x14ac:dyDescent="0.2">
      <c r="A66" s="121" t="s">
        <v>64</v>
      </c>
      <c r="B66" s="927" t="s">
        <v>128</v>
      </c>
      <c r="C66" s="928"/>
      <c r="D66" s="928"/>
      <c r="E66" s="928"/>
      <c r="F66" s="18">
        <f>F51</f>
        <v>0.33800000000000002</v>
      </c>
      <c r="G66" s="122">
        <f>G51</f>
        <v>688.17</v>
      </c>
      <c r="H66" s="4"/>
    </row>
    <row r="67" spans="1:8" x14ac:dyDescent="0.2">
      <c r="A67" s="121" t="s">
        <v>65</v>
      </c>
      <c r="B67" s="927" t="s">
        <v>66</v>
      </c>
      <c r="C67" s="928"/>
      <c r="D67" s="928"/>
      <c r="E67" s="928"/>
      <c r="F67" s="929"/>
      <c r="G67" s="122">
        <f>G63</f>
        <v>423.82</v>
      </c>
      <c r="H67" s="4"/>
    </row>
    <row r="68" spans="1:8" x14ac:dyDescent="0.2">
      <c r="A68" s="936" t="s">
        <v>67</v>
      </c>
      <c r="B68" s="937"/>
      <c r="C68" s="937"/>
      <c r="D68" s="937"/>
      <c r="E68" s="937"/>
      <c r="F68" s="938"/>
      <c r="G68" s="105">
        <f>SUM(G65:G67)</f>
        <v>1668.63</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EPI''s'!E17</f>
        <v>0</v>
      </c>
      <c r="F108" s="24">
        <v>1</v>
      </c>
      <c r="G108" s="103">
        <f>ROUND((E108*F108),2)</f>
        <v>0</v>
      </c>
      <c r="H108" s="4"/>
    </row>
    <row r="109" spans="1:8" s="35" customFormat="1" x14ac:dyDescent="0.2">
      <c r="A109" s="37" t="s">
        <v>29</v>
      </c>
      <c r="B109" s="967" t="str">
        <f>'Uniformes e EPI''s'!A19</f>
        <v>EPI's</v>
      </c>
      <c r="C109" s="920"/>
      <c r="D109" s="920"/>
      <c r="E109" s="45">
        <f>'Uniformes e EPI''s'!D39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0.04</v>
      </c>
      <c r="G124" s="107">
        <f ca="1">ROUND(G$139*F124,2)</f>
        <v>154.36000000000001</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0.04</v>
      </c>
      <c r="G127" s="129">
        <f ca="1">SUM(G122:G126)</f>
        <v>154.36000000000001</v>
      </c>
      <c r="H127" s="4">
        <f ca="1">ROUND(G139*F127,2)</f>
        <v>154.36000000000001</v>
      </c>
    </row>
    <row r="128" spans="1:8" x14ac:dyDescent="0.2">
      <c r="A128" s="936" t="s">
        <v>104</v>
      </c>
      <c r="B128" s="937"/>
      <c r="C128" s="937"/>
      <c r="D128" s="937"/>
      <c r="E128" s="937"/>
      <c r="F128" s="23">
        <f>SUM(F119,F120,F127)</f>
        <v>0.04</v>
      </c>
      <c r="G128" s="126">
        <f ca="1">SUM(G119:G126)</f>
        <v>154.36000000000001</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2035.99</v>
      </c>
      <c r="H130" s="4"/>
    </row>
    <row r="131" spans="1:8" x14ac:dyDescent="0.2">
      <c r="A131" s="121" t="s">
        <v>29</v>
      </c>
      <c r="B131" s="927" t="s">
        <v>107</v>
      </c>
      <c r="C131" s="928"/>
      <c r="D131" s="928"/>
      <c r="E131" s="928"/>
      <c r="F131" s="929"/>
      <c r="G131" s="122">
        <f>G68</f>
        <v>1668.63</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3704.62</v>
      </c>
      <c r="H135" s="4"/>
    </row>
    <row r="136" spans="1:8" x14ac:dyDescent="0.2">
      <c r="A136" s="121" t="s">
        <v>34</v>
      </c>
      <c r="B136" s="933" t="s">
        <v>112</v>
      </c>
      <c r="C136" s="934"/>
      <c r="D136" s="934"/>
      <c r="E136" s="934"/>
      <c r="F136" s="935"/>
      <c r="G136" s="122">
        <f ca="1">G128</f>
        <v>154.36000000000001</v>
      </c>
      <c r="H136" s="4"/>
    </row>
    <row r="137" spans="1:8" x14ac:dyDescent="0.2">
      <c r="A137" s="936" t="s">
        <v>113</v>
      </c>
      <c r="B137" s="937"/>
      <c r="C137" s="937"/>
      <c r="D137" s="937"/>
      <c r="E137" s="937"/>
      <c r="F137" s="938"/>
      <c r="G137" s="105">
        <f ca="1">SUM(G135:G136)</f>
        <v>3858.98</v>
      </c>
      <c r="H137" s="4">
        <f ca="1">SUM(G130:G136)-G135</f>
        <v>3858.98</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3858.98</v>
      </c>
      <c r="H139" s="4"/>
    </row>
    <row r="140" spans="1:8" x14ac:dyDescent="0.2">
      <c r="A140" s="766"/>
      <c r="B140" s="767" t="s">
        <v>115</v>
      </c>
      <c r="C140" s="767"/>
      <c r="D140" s="767"/>
      <c r="E140" s="767"/>
      <c r="F140" s="768">
        <f>F21</f>
        <v>1</v>
      </c>
      <c r="G140" s="769">
        <f ca="1">G139*F140</f>
        <v>3858.98</v>
      </c>
      <c r="H140" s="4"/>
    </row>
    <row r="141" spans="1:8" x14ac:dyDescent="0.2">
      <c r="F141" s="130"/>
    </row>
    <row r="148" spans="7:7" x14ac:dyDescent="0.2">
      <c r="G148" s="33"/>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21:E121"/>
    <mergeCell ref="B122:E122"/>
    <mergeCell ref="B123:E123"/>
    <mergeCell ref="B124:E124"/>
    <mergeCell ref="B126:E126"/>
    <mergeCell ref="B127:E127"/>
    <mergeCell ref="A106:F106"/>
    <mergeCell ref="A107:G107"/>
    <mergeCell ref="A116:F116"/>
    <mergeCell ref="A117:G117"/>
    <mergeCell ref="B119:E119"/>
    <mergeCell ref="B120:E120"/>
    <mergeCell ref="B108:D108"/>
    <mergeCell ref="B109:D109"/>
    <mergeCell ref="B110:D110"/>
    <mergeCell ref="B111:D111"/>
    <mergeCell ref="B112:D112"/>
    <mergeCell ref="B115:D115"/>
    <mergeCell ref="B114:D114"/>
    <mergeCell ref="B113:D113"/>
    <mergeCell ref="B125:E125"/>
    <mergeCell ref="B134:F134"/>
    <mergeCell ref="B135:F135"/>
    <mergeCell ref="B136:F136"/>
    <mergeCell ref="A137:F137"/>
    <mergeCell ref="A138:G138"/>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60 G58" 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pageSetUpPr fitToPage="1"/>
  </sheetPr>
  <dimension ref="A1:IM174"/>
  <sheetViews>
    <sheetView showGridLines="0" view="pageBreakPreview" topLeftCell="A37" zoomScaleNormal="100" zoomScaleSheetLayoutView="100" workbookViewId="0">
      <selection activeCell="J61" sqref="J61"/>
    </sheetView>
  </sheetViews>
  <sheetFormatPr defaultColWidth="11.42578125" defaultRowHeight="16.5" x14ac:dyDescent="0.3"/>
  <cols>
    <col min="1" max="1" width="3" style="57" bestFit="1" customWidth="1"/>
    <col min="2" max="2" width="44.28515625" style="57" customWidth="1"/>
    <col min="3" max="8" width="14.5703125" style="57" customWidth="1"/>
    <col min="9" max="9" width="12.5703125" style="57" bestFit="1" customWidth="1"/>
    <col min="10" max="16384" width="11.42578125" style="57"/>
  </cols>
  <sheetData>
    <row r="1" spans="2:12" s="34" customFormat="1" ht="26.25" customHeight="1" x14ac:dyDescent="0.3">
      <c r="B1" s="1093" t="s">
        <v>474</v>
      </c>
      <c r="C1" s="1094"/>
      <c r="D1" s="1094"/>
      <c r="E1" s="1094"/>
      <c r="F1" s="1094"/>
      <c r="G1" s="1094"/>
      <c r="H1" s="1095"/>
      <c r="I1" s="57"/>
      <c r="L1" s="51"/>
    </row>
    <row r="2" spans="2:12" s="34" customFormat="1" ht="26.25" customHeight="1" thickBot="1" x14ac:dyDescent="0.35">
      <c r="B2" s="1096" t="s">
        <v>513</v>
      </c>
      <c r="C2" s="1097"/>
      <c r="D2" s="1097"/>
      <c r="E2" s="1097"/>
      <c r="F2" s="1097"/>
      <c r="G2" s="1097"/>
      <c r="H2" s="1098"/>
      <c r="I2" s="57"/>
      <c r="L2" s="51"/>
    </row>
    <row r="3" spans="2:12" s="34" customFormat="1" ht="38.25" customHeight="1" thickBot="1" x14ac:dyDescent="0.35">
      <c r="B3" s="1099" t="s">
        <v>392</v>
      </c>
      <c r="C3" s="1100"/>
      <c r="D3" s="1100"/>
      <c r="E3" s="1100"/>
      <c r="F3" s="1100"/>
      <c r="G3" s="1100"/>
      <c r="H3" s="1101"/>
      <c r="I3" s="57"/>
      <c r="J3" s="1073"/>
      <c r="K3" s="1073"/>
      <c r="L3" s="51"/>
    </row>
    <row r="4" spans="2:12" ht="15.95" customHeight="1" x14ac:dyDescent="0.3">
      <c r="B4" s="1088" t="s">
        <v>159</v>
      </c>
      <c r="C4" s="1089"/>
      <c r="D4" s="1089"/>
      <c r="E4" s="1089"/>
      <c r="F4" s="1089"/>
      <c r="G4" s="1089"/>
      <c r="H4" s="1090"/>
    </row>
    <row r="5" spans="2:12" ht="15.95" customHeight="1" thickBot="1" x14ac:dyDescent="0.35">
      <c r="B5" s="1088"/>
      <c r="C5" s="1089"/>
      <c r="D5" s="1089"/>
      <c r="E5" s="1089"/>
      <c r="F5" s="1089"/>
      <c r="G5" s="1089"/>
      <c r="H5" s="1090"/>
    </row>
    <row r="6" spans="2:12" ht="15.95" customHeight="1" thickBot="1" x14ac:dyDescent="0.35">
      <c r="B6" s="167" t="s">
        <v>174</v>
      </c>
      <c r="C6" s="1111" t="s">
        <v>478</v>
      </c>
      <c r="D6" s="1112"/>
      <c r="E6" s="1112"/>
      <c r="F6" s="1112"/>
      <c r="G6" s="1112"/>
      <c r="H6" s="1113"/>
    </row>
    <row r="7" spans="2:12" ht="48.6" customHeight="1" thickBot="1" x14ac:dyDescent="0.35">
      <c r="B7" s="146" t="s">
        <v>193</v>
      </c>
      <c r="C7" s="168" t="s">
        <v>418</v>
      </c>
      <c r="D7" s="168" t="s">
        <v>442</v>
      </c>
      <c r="E7" s="168" t="s">
        <v>244</v>
      </c>
      <c r="F7" s="169" t="s">
        <v>441</v>
      </c>
      <c r="G7" s="82"/>
      <c r="H7" s="72"/>
    </row>
    <row r="8" spans="2:12" ht="15.95" customHeight="1" x14ac:dyDescent="0.3">
      <c r="B8" s="150" t="s">
        <v>237</v>
      </c>
      <c r="C8" s="151">
        <v>370.55</v>
      </c>
      <c r="D8" s="152">
        <v>800</v>
      </c>
      <c r="E8" s="153">
        <f t="shared" ref="E8:E13" si="0">C8/D8</f>
        <v>0.46</v>
      </c>
      <c r="F8" s="1085">
        <f>ROUNDDOWN(SUM(E8:E12),0)</f>
        <v>2</v>
      </c>
      <c r="G8" s="1074"/>
      <c r="H8" s="72"/>
    </row>
    <row r="9" spans="2:12" ht="15.95" customHeight="1" x14ac:dyDescent="0.3">
      <c r="B9" s="170" t="s">
        <v>248</v>
      </c>
      <c r="C9" s="60">
        <v>8200.39</v>
      </c>
      <c r="D9" s="314">
        <v>6000</v>
      </c>
      <c r="E9" s="172">
        <f t="shared" si="0"/>
        <v>1.37</v>
      </c>
      <c r="F9" s="1086"/>
      <c r="G9" s="1074"/>
      <c r="H9" s="72"/>
    </row>
    <row r="10" spans="2:12" ht="15.95" customHeight="1" x14ac:dyDescent="0.3">
      <c r="B10" s="170" t="s">
        <v>411</v>
      </c>
      <c r="C10" s="173">
        <v>76.61</v>
      </c>
      <c r="D10" s="171">
        <v>300</v>
      </c>
      <c r="E10" s="172">
        <f t="shared" si="0"/>
        <v>0.26</v>
      </c>
      <c r="F10" s="1086"/>
      <c r="G10" s="1074"/>
      <c r="H10" s="72"/>
    </row>
    <row r="11" spans="2:12" ht="15.95" customHeight="1" x14ac:dyDescent="0.3">
      <c r="B11" s="294" t="s">
        <v>239</v>
      </c>
      <c r="C11" s="210">
        <v>43.57</v>
      </c>
      <c r="D11" s="211">
        <v>200</v>
      </c>
      <c r="E11" s="172">
        <f t="shared" si="0"/>
        <v>0.22</v>
      </c>
      <c r="F11" s="1086"/>
      <c r="G11" s="1074"/>
      <c r="H11" s="72"/>
    </row>
    <row r="12" spans="2:12" ht="15.95" customHeight="1" thickBot="1" x14ac:dyDescent="0.35">
      <c r="B12" s="174" t="s">
        <v>408</v>
      </c>
      <c r="C12" s="175">
        <v>0</v>
      </c>
      <c r="D12" s="176">
        <v>200</v>
      </c>
      <c r="E12" s="295">
        <f t="shared" si="0"/>
        <v>0</v>
      </c>
      <c r="F12" s="1087"/>
      <c r="G12" s="1074"/>
      <c r="H12" s="72"/>
    </row>
    <row r="13" spans="2:12" ht="15.95" customHeight="1" thickBot="1" x14ac:dyDescent="0.35">
      <c r="B13" s="147" t="s">
        <v>238</v>
      </c>
      <c r="C13" s="60">
        <v>4998.49</v>
      </c>
      <c r="D13" s="313">
        <v>5000</v>
      </c>
      <c r="E13" s="149">
        <f t="shared" si="0"/>
        <v>1</v>
      </c>
      <c r="F13" s="164">
        <f>ROUNDDOWN(E13,0)</f>
        <v>1</v>
      </c>
      <c r="G13" s="163"/>
      <c r="H13" s="72"/>
      <c r="I13" s="154"/>
    </row>
    <row r="14" spans="2:12" ht="15.95" customHeight="1" x14ac:dyDescent="0.3">
      <c r="B14" s="1077" t="s">
        <v>175</v>
      </c>
      <c r="C14" s="1078"/>
      <c r="D14" s="1078"/>
      <c r="E14" s="1078"/>
      <c r="F14" s="177">
        <f>'Agente de Higienização_CEARB'!F22</f>
        <v>2</v>
      </c>
      <c r="G14" s="136"/>
      <c r="H14" s="72"/>
    </row>
    <row r="15" spans="2:12" ht="15.95" customHeight="1" x14ac:dyDescent="0.3">
      <c r="B15" s="1079" t="s">
        <v>216</v>
      </c>
      <c r="C15" s="1080"/>
      <c r="D15" s="1080"/>
      <c r="E15" s="1080"/>
      <c r="F15" s="178">
        <f>Jardineiro_CEARB!F22</f>
        <v>1</v>
      </c>
      <c r="G15" s="137"/>
      <c r="H15" s="72"/>
    </row>
    <row r="16" spans="2:12" ht="15.95" customHeight="1" thickBot="1" x14ac:dyDescent="0.35">
      <c r="B16" s="1081" t="s">
        <v>449</v>
      </c>
      <c r="C16" s="1082"/>
      <c r="D16" s="1082"/>
      <c r="E16" s="1082"/>
      <c r="F16" s="161">
        <f>SUM(F14:F15)</f>
        <v>3</v>
      </c>
      <c r="G16" s="138"/>
      <c r="H16" s="72"/>
    </row>
    <row r="17" spans="2:9" ht="15.95" customHeight="1" thickBot="1" x14ac:dyDescent="0.35">
      <c r="B17" s="179"/>
      <c r="C17" s="59"/>
      <c r="D17" s="58"/>
      <c r="E17" s="59"/>
      <c r="F17" s="59"/>
      <c r="G17" s="59"/>
      <c r="H17" s="72"/>
    </row>
    <row r="18" spans="2:9" ht="29.45" customHeight="1" thickBot="1" x14ac:dyDescent="0.35">
      <c r="B18" s="83" t="s">
        <v>194</v>
      </c>
      <c r="C18" s="180" t="s">
        <v>178</v>
      </c>
      <c r="D18" s="82"/>
      <c r="E18" s="82"/>
      <c r="F18" s="59"/>
      <c r="G18" s="59"/>
      <c r="H18" s="72"/>
    </row>
    <row r="19" spans="2:9" ht="15.95" customHeight="1" x14ac:dyDescent="0.3">
      <c r="B19" s="181" t="str">
        <f>'Agente de Higienização_CEARB'!F16</f>
        <v>Agente de Higienização</v>
      </c>
      <c r="C19" s="182">
        <f ca="1">'Agente de Higienização_CEARB'!G140</f>
        <v>4843.76</v>
      </c>
      <c r="D19" s="81"/>
      <c r="E19" s="81"/>
      <c r="F19" s="59"/>
      <c r="G19" s="59"/>
      <c r="H19" s="74"/>
    </row>
    <row r="20" spans="2:9" ht="15.95" customHeight="1" x14ac:dyDescent="0.3">
      <c r="B20" s="181" t="s">
        <v>216</v>
      </c>
      <c r="C20" s="182">
        <f ca="1">Jardineiro_CEARB!G140</f>
        <v>3858.98</v>
      </c>
      <c r="D20" s="81"/>
      <c r="E20" s="81"/>
      <c r="F20" s="59"/>
      <c r="G20" s="59"/>
      <c r="H20" s="74"/>
    </row>
    <row r="21" spans="2:9" ht="15.95" customHeight="1" thickBot="1" x14ac:dyDescent="0.35">
      <c r="B21" s="179"/>
      <c r="C21" s="59"/>
      <c r="D21" s="58"/>
      <c r="E21" s="59"/>
      <c r="F21" s="59"/>
      <c r="G21" s="59"/>
      <c r="H21" s="72"/>
    </row>
    <row r="22" spans="2:9" ht="28.5" customHeight="1" thickBot="1" x14ac:dyDescent="0.35">
      <c r="B22" s="183" t="s">
        <v>165</v>
      </c>
      <c r="C22" s="184" t="s">
        <v>444</v>
      </c>
      <c r="D22" s="184" t="s">
        <v>172</v>
      </c>
      <c r="E22" s="184" t="s">
        <v>443</v>
      </c>
      <c r="F22" s="59"/>
      <c r="G22" s="59"/>
      <c r="H22" s="72"/>
    </row>
    <row r="23" spans="2:9" s="61" customFormat="1" ht="15.95" customHeight="1" x14ac:dyDescent="0.3">
      <c r="B23" s="185" t="s">
        <v>163</v>
      </c>
      <c r="C23" s="186"/>
      <c r="D23" s="186"/>
      <c r="E23" s="187"/>
      <c r="F23" s="59"/>
      <c r="G23" s="59"/>
      <c r="H23" s="72"/>
    </row>
    <row r="24" spans="2:9" s="61" customFormat="1" ht="15.95" customHeight="1" x14ac:dyDescent="0.3">
      <c r="B24" s="181" t="str">
        <f>B19</f>
        <v>Agente de Higienização</v>
      </c>
      <c r="C24" s="469">
        <f>ROUND(1/(21*D8),9)</f>
        <v>5.9524000000000001E-5</v>
      </c>
      <c r="D24" s="62">
        <f ca="1">C19</f>
        <v>4843.76</v>
      </c>
      <c r="E24" s="78">
        <f ca="1">ROUND(D24*C24,2)</f>
        <v>0.28999999999999998</v>
      </c>
      <c r="F24" s="59"/>
      <c r="G24" s="59"/>
      <c r="H24" s="72"/>
    </row>
    <row r="25" spans="2:9" s="61" customFormat="1" ht="15.95" customHeight="1" thickBot="1" x14ac:dyDescent="0.35">
      <c r="B25" s="188"/>
      <c r="C25" s="1083" t="s">
        <v>170</v>
      </c>
      <c r="D25" s="1084"/>
      <c r="E25" s="189">
        <f ca="1">SUM(E24:E24)</f>
        <v>0.28999999999999998</v>
      </c>
      <c r="F25" s="59"/>
      <c r="G25" s="59"/>
      <c r="H25" s="72"/>
    </row>
    <row r="26" spans="2:9" s="61" customFormat="1" ht="30.75" customHeight="1" thickBot="1" x14ac:dyDescent="0.35">
      <c r="B26" s="183" t="s">
        <v>165</v>
      </c>
      <c r="C26" s="184" t="s">
        <v>444</v>
      </c>
      <c r="D26" s="184" t="s">
        <v>172</v>
      </c>
      <c r="E26" s="184" t="s">
        <v>443</v>
      </c>
      <c r="F26" s="59"/>
      <c r="G26" s="59"/>
      <c r="H26" s="72"/>
    </row>
    <row r="27" spans="2:9" s="61" customFormat="1" ht="15.95" customHeight="1" x14ac:dyDescent="0.3">
      <c r="B27" s="185" t="s">
        <v>161</v>
      </c>
      <c r="C27" s="186"/>
      <c r="D27" s="186"/>
      <c r="E27" s="187"/>
      <c r="F27" s="59"/>
      <c r="G27" s="59"/>
      <c r="H27" s="72"/>
      <c r="I27" s="489" t="s">
        <v>469</v>
      </c>
    </row>
    <row r="28" spans="2:9" s="61" customFormat="1" ht="15.95" customHeight="1" x14ac:dyDescent="0.3">
      <c r="B28" s="181" t="str">
        <f>B19</f>
        <v>Agente de Higienização</v>
      </c>
      <c r="C28" s="190">
        <f>ROUND(1/(D9),9)</f>
        <v>1.6666700000000001E-4</v>
      </c>
      <c r="D28" s="62">
        <f ca="1">C19</f>
        <v>4843.76</v>
      </c>
      <c r="E28" s="78">
        <f ca="1">ROUND(D28*C28,2)</f>
        <v>0.81</v>
      </c>
      <c r="F28" s="59"/>
      <c r="G28" s="59"/>
      <c r="H28" s="72"/>
    </row>
    <row r="29" spans="2:9" s="61" customFormat="1" ht="15.95" customHeight="1" thickBot="1" x14ac:dyDescent="0.35">
      <c r="B29" s="188"/>
      <c r="C29" s="1083" t="s">
        <v>169</v>
      </c>
      <c r="D29" s="1084"/>
      <c r="E29" s="189">
        <f ca="1">SUM(E28:E28)</f>
        <v>0.81</v>
      </c>
      <c r="F29" s="59"/>
      <c r="G29" s="59"/>
      <c r="H29" s="72"/>
    </row>
    <row r="30" spans="2:9" s="61" customFormat="1" ht="15.95" customHeight="1" x14ac:dyDescent="0.3">
      <c r="B30" s="144" t="s">
        <v>240</v>
      </c>
      <c r="C30" s="65"/>
      <c r="D30" s="65"/>
      <c r="E30" s="187"/>
      <c r="F30" s="59"/>
      <c r="G30" s="59"/>
      <c r="H30" s="72"/>
    </row>
    <row r="31" spans="2:9" s="61" customFormat="1" ht="15.95" customHeight="1" x14ac:dyDescent="0.3">
      <c r="B31" s="181" t="str">
        <f>B19</f>
        <v>Agente de Higienização</v>
      </c>
      <c r="C31" s="190">
        <f>ROUND(1/(26*D11),9)</f>
        <v>1.92308E-4</v>
      </c>
      <c r="D31" s="191">
        <f ca="1">C19</f>
        <v>4843.76</v>
      </c>
      <c r="E31" s="63">
        <f ca="1">ROUND(D31*C31,2)</f>
        <v>0.93</v>
      </c>
      <c r="F31" s="59"/>
      <c r="G31" s="59"/>
      <c r="H31" s="72"/>
    </row>
    <row r="32" spans="2:9" s="64" customFormat="1" ht="15.95" customHeight="1" thickBot="1" x14ac:dyDescent="0.35">
      <c r="B32" s="188"/>
      <c r="C32" s="1083" t="s">
        <v>241</v>
      </c>
      <c r="D32" s="1084"/>
      <c r="E32" s="192">
        <f ca="1">SUM(E31)</f>
        <v>0.93</v>
      </c>
      <c r="F32" s="59"/>
      <c r="G32" s="59"/>
      <c r="H32" s="72"/>
    </row>
    <row r="33" spans="1:247" s="61" customFormat="1" ht="15.95" customHeight="1" thickBot="1" x14ac:dyDescent="0.35">
      <c r="B33" s="193"/>
      <c r="C33" s="59"/>
      <c r="D33" s="58"/>
      <c r="E33" s="59"/>
      <c r="F33" s="58"/>
      <c r="G33" s="59"/>
      <c r="H33" s="72"/>
    </row>
    <row r="34" spans="1:247" s="61" customFormat="1" ht="15.95" customHeight="1" thickBot="1" x14ac:dyDescent="0.35">
      <c r="B34" s="1075" t="s">
        <v>165</v>
      </c>
      <c r="C34" s="1076" t="s">
        <v>444</v>
      </c>
      <c r="D34" s="1076" t="s">
        <v>245</v>
      </c>
      <c r="E34" s="1076" t="s">
        <v>246</v>
      </c>
      <c r="F34" s="1076" t="s">
        <v>168</v>
      </c>
      <c r="G34" s="1076" t="s">
        <v>167</v>
      </c>
      <c r="H34" s="1104" t="s">
        <v>445</v>
      </c>
    </row>
    <row r="35" spans="1:247" s="61" customFormat="1" ht="36" customHeight="1" thickBot="1" x14ac:dyDescent="0.35">
      <c r="B35" s="1075"/>
      <c r="C35" s="1076"/>
      <c r="D35" s="1076"/>
      <c r="E35" s="1076"/>
      <c r="F35" s="1076"/>
      <c r="G35" s="1076"/>
      <c r="H35" s="1104"/>
    </row>
    <row r="36" spans="1:247" s="61" customFormat="1" ht="15.95" customHeight="1" x14ac:dyDescent="0.3">
      <c r="B36" s="194" t="s">
        <v>311</v>
      </c>
      <c r="C36" s="195"/>
      <c r="D36" s="195"/>
      <c r="E36" s="195"/>
      <c r="F36" s="195"/>
      <c r="G36" s="195"/>
      <c r="H36" s="196"/>
    </row>
    <row r="37" spans="1:247" s="61" customFormat="1" ht="15.95" customHeight="1" x14ac:dyDescent="0.3">
      <c r="B37" s="75" t="str">
        <f>B19</f>
        <v>Agente de Higienização</v>
      </c>
      <c r="C37" s="190">
        <f>ROUND(1/D10,9)</f>
        <v>3.333333E-3</v>
      </c>
      <c r="D37" s="197">
        <f>((C10/D10)*8)</f>
        <v>2</v>
      </c>
      <c r="E37" s="198">
        <f>ROUND(1/188.76,9)</f>
        <v>5.2977329999999998E-3</v>
      </c>
      <c r="F37" s="199">
        <f>ROUND(((C37)*(E37)*(D37)),9)</f>
        <v>3.5318000000000003E-5</v>
      </c>
      <c r="G37" s="200">
        <f ca="1">C19</f>
        <v>4843.76</v>
      </c>
      <c r="H37" s="201">
        <f ca="1">ROUND(G37*F37,2)</f>
        <v>0.17</v>
      </c>
    </row>
    <row r="38" spans="1:247" s="61" customFormat="1" ht="15.95" customHeight="1" thickBot="1" x14ac:dyDescent="0.35">
      <c r="B38" s="202"/>
      <c r="C38" s="203"/>
      <c r="D38" s="203"/>
      <c r="E38" s="203"/>
      <c r="F38" s="203"/>
      <c r="G38" s="204" t="s">
        <v>312</v>
      </c>
      <c r="H38" s="205">
        <f ca="1">ROUND(SUM(H37:H37),2)</f>
        <v>0.17</v>
      </c>
    </row>
    <row r="39" spans="1:247" s="67" customFormat="1" ht="15.95" customHeight="1" thickBot="1" x14ac:dyDescent="0.35">
      <c r="A39" s="142"/>
      <c r="B39" s="206"/>
      <c r="C39" s="140"/>
      <c r="D39" s="140"/>
      <c r="E39" s="140"/>
      <c r="F39" s="140"/>
      <c r="G39" s="141"/>
      <c r="H39" s="143"/>
    </row>
    <row r="40" spans="1:247" s="61" customFormat="1" ht="39" thickBot="1" x14ac:dyDescent="0.35">
      <c r="B40" s="183" t="s">
        <v>165</v>
      </c>
      <c r="C40" s="184" t="s">
        <v>444</v>
      </c>
      <c r="D40" s="184" t="s">
        <v>172</v>
      </c>
      <c r="E40" s="184" t="s">
        <v>443</v>
      </c>
      <c r="F40" s="59"/>
      <c r="G40" s="59"/>
      <c r="H40" s="72"/>
    </row>
    <row r="41" spans="1:247" s="61" customFormat="1" ht="15.95" customHeight="1" x14ac:dyDescent="0.3">
      <c r="B41" s="185" t="s">
        <v>242</v>
      </c>
      <c r="C41" s="186"/>
      <c r="D41" s="186"/>
      <c r="E41" s="187"/>
      <c r="F41" s="59"/>
      <c r="G41" s="59"/>
      <c r="H41" s="72"/>
    </row>
    <row r="42" spans="1:247" s="64" customFormat="1" ht="15.95" customHeight="1" x14ac:dyDescent="0.3">
      <c r="B42" s="181" t="str">
        <f>B20</f>
        <v>Jardineiro</v>
      </c>
      <c r="C42" s="469">
        <f>ROUND(1/(D13),9)</f>
        <v>2.0000000000000001E-4</v>
      </c>
      <c r="D42" s="62">
        <f ca="1">C20</f>
        <v>3858.98</v>
      </c>
      <c r="E42" s="78">
        <f ca="1">ROUND(D42*C42,2)</f>
        <v>0.77</v>
      </c>
      <c r="F42" s="59"/>
      <c r="G42" s="59"/>
      <c r="H42" s="72"/>
    </row>
    <row r="43" spans="1:247" s="61" customFormat="1" ht="15.95" customHeight="1" thickBot="1" x14ac:dyDescent="0.35">
      <c r="A43" s="66"/>
      <c r="B43" s="188"/>
      <c r="C43" s="1083" t="s">
        <v>247</v>
      </c>
      <c r="D43" s="1084"/>
      <c r="E43" s="189">
        <f ca="1">SUM(E42:E42)</f>
        <v>0.77</v>
      </c>
      <c r="F43" s="140"/>
      <c r="G43" s="141"/>
      <c r="H43" s="139"/>
    </row>
    <row r="44" spans="1:247" s="61" customFormat="1" ht="15.95" customHeight="1" thickBot="1" x14ac:dyDescent="0.35">
      <c r="A44" s="66"/>
      <c r="B44" s="179"/>
      <c r="C44" s="59"/>
      <c r="D44" s="59"/>
      <c r="E44" s="59"/>
      <c r="F44" s="59"/>
      <c r="G44" s="59"/>
      <c r="H44" s="72"/>
    </row>
    <row r="45" spans="1:247" s="61" customFormat="1" ht="15.95" customHeight="1" thickBot="1" x14ac:dyDescent="0.35">
      <c r="B45" s="1105" t="s">
        <v>165</v>
      </c>
      <c r="C45" s="1102" t="s">
        <v>447</v>
      </c>
      <c r="D45" s="1107" t="s">
        <v>446</v>
      </c>
      <c r="E45" s="1102" t="s">
        <v>438</v>
      </c>
      <c r="F45" s="1102" t="s">
        <v>448</v>
      </c>
      <c r="G45" s="1109" t="s">
        <v>439</v>
      </c>
      <c r="H45" s="72"/>
    </row>
    <row r="46" spans="1:247" s="61" customFormat="1" ht="29.45" customHeight="1" thickBot="1" x14ac:dyDescent="0.35">
      <c r="B46" s="1106"/>
      <c r="C46" s="1103"/>
      <c r="D46" s="1108"/>
      <c r="E46" s="1103"/>
      <c r="F46" s="1103"/>
      <c r="G46" s="1110"/>
      <c r="H46" s="72"/>
      <c r="IF46" s="67"/>
      <c r="IG46" s="67"/>
      <c r="IH46" s="67"/>
      <c r="II46" s="67"/>
      <c r="IJ46" s="67"/>
      <c r="IK46" s="67"/>
      <c r="IL46" s="67"/>
      <c r="IM46" s="67"/>
    </row>
    <row r="47" spans="1:247" s="61" customFormat="1" ht="15.95" customHeight="1" x14ac:dyDescent="0.3">
      <c r="B47" s="144" t="s">
        <v>163</v>
      </c>
      <c r="C47" s="68">
        <f ca="1">E25</f>
        <v>0.28999999999999998</v>
      </c>
      <c r="D47" s="69">
        <f t="shared" ref="D47:D52" si="1">C8</f>
        <v>370.55</v>
      </c>
      <c r="E47" s="207">
        <f t="shared" ref="E47:E52" ca="1" si="2">ROUND(D47*C47,2)</f>
        <v>107.46</v>
      </c>
      <c r="F47" s="69">
        <f t="shared" ref="F47:G52" si="3">D47*12</f>
        <v>4446.6000000000004</v>
      </c>
      <c r="G47" s="209">
        <f t="shared" ca="1" si="3"/>
        <v>1289.52</v>
      </c>
      <c r="H47" s="73"/>
      <c r="IE47" s="67"/>
      <c r="IF47" s="67"/>
      <c r="IG47" s="67"/>
      <c r="IH47" s="67"/>
      <c r="II47" s="67"/>
      <c r="IJ47" s="67"/>
      <c r="IK47" s="67"/>
      <c r="IL47" s="67"/>
    </row>
    <row r="48" spans="1:247" s="61" customFormat="1" ht="15.95" customHeight="1" x14ac:dyDescent="0.3">
      <c r="B48" s="166" t="s">
        <v>161</v>
      </c>
      <c r="C48" s="68">
        <f ca="1">E29</f>
        <v>0.81</v>
      </c>
      <c r="D48" s="69">
        <f t="shared" si="1"/>
        <v>8200.39</v>
      </c>
      <c r="E48" s="207">
        <f t="shared" ca="1" si="2"/>
        <v>6642.32</v>
      </c>
      <c r="F48" s="69">
        <f t="shared" si="3"/>
        <v>98404.68</v>
      </c>
      <c r="G48" s="209">
        <f t="shared" ca="1" si="3"/>
        <v>79707.839999999997</v>
      </c>
      <c r="H48" s="73"/>
      <c r="IE48" s="67"/>
      <c r="IF48" s="67"/>
      <c r="IG48" s="67"/>
      <c r="IH48" s="67"/>
      <c r="II48" s="67"/>
      <c r="IJ48" s="67"/>
      <c r="IK48" s="67"/>
      <c r="IL48" s="67"/>
    </row>
    <row r="49" spans="1:10" s="61" customFormat="1" ht="15.95" customHeight="1" x14ac:dyDescent="0.3">
      <c r="B49" s="166" t="s">
        <v>410</v>
      </c>
      <c r="C49" s="68">
        <f ca="1">H38</f>
        <v>0.17</v>
      </c>
      <c r="D49" s="69">
        <f t="shared" si="1"/>
        <v>76.61</v>
      </c>
      <c r="E49" s="207">
        <f t="shared" ca="1" si="2"/>
        <v>13.02</v>
      </c>
      <c r="F49" s="69">
        <f t="shared" si="3"/>
        <v>919.32</v>
      </c>
      <c r="G49" s="209">
        <f t="shared" ca="1" si="3"/>
        <v>156.24</v>
      </c>
      <c r="H49" s="73"/>
    </row>
    <row r="50" spans="1:10" s="61" customFormat="1" ht="15.95" customHeight="1" x14ac:dyDescent="0.3">
      <c r="B50" s="166" t="s">
        <v>240</v>
      </c>
      <c r="C50" s="68">
        <f ca="1">E32</f>
        <v>0.93</v>
      </c>
      <c r="D50" s="69">
        <f t="shared" si="1"/>
        <v>43.57</v>
      </c>
      <c r="E50" s="207">
        <f t="shared" ca="1" si="2"/>
        <v>40.520000000000003</v>
      </c>
      <c r="F50" s="69">
        <f t="shared" si="3"/>
        <v>522.84</v>
      </c>
      <c r="G50" s="209">
        <f t="shared" ca="1" si="3"/>
        <v>486.24</v>
      </c>
      <c r="H50" s="73"/>
    </row>
    <row r="51" spans="1:10" s="548" customFormat="1" ht="15.95" customHeight="1" x14ac:dyDescent="0.3">
      <c r="B51" s="549" t="s">
        <v>409</v>
      </c>
      <c r="C51" s="550">
        <v>0</v>
      </c>
      <c r="D51" s="551">
        <f t="shared" si="1"/>
        <v>0</v>
      </c>
      <c r="E51" s="552">
        <f t="shared" si="2"/>
        <v>0</v>
      </c>
      <c r="F51" s="551">
        <f t="shared" si="3"/>
        <v>0</v>
      </c>
      <c r="G51" s="553">
        <f t="shared" si="3"/>
        <v>0</v>
      </c>
      <c r="H51" s="554"/>
    </row>
    <row r="52" spans="1:10" s="61" customFormat="1" ht="15.95" customHeight="1" x14ac:dyDescent="0.3">
      <c r="B52" s="166" t="s">
        <v>243</v>
      </c>
      <c r="C52" s="68">
        <f ca="1">E43</f>
        <v>0.77</v>
      </c>
      <c r="D52" s="69">
        <f t="shared" si="1"/>
        <v>4998.49</v>
      </c>
      <c r="E52" s="207">
        <f t="shared" ca="1" si="2"/>
        <v>3848.84</v>
      </c>
      <c r="F52" s="69">
        <f t="shared" si="3"/>
        <v>59981.88</v>
      </c>
      <c r="G52" s="209">
        <f t="shared" ca="1" si="3"/>
        <v>46186.080000000002</v>
      </c>
      <c r="H52" s="73"/>
      <c r="I52" s="158"/>
    </row>
    <row r="53" spans="1:10" s="61" customFormat="1" ht="15.95" customHeight="1" x14ac:dyDescent="0.3">
      <c r="A53" s="70" t="s">
        <v>162</v>
      </c>
      <c r="B53" s="1091" t="s">
        <v>413</v>
      </c>
      <c r="C53" s="1092"/>
      <c r="D53" s="1092"/>
      <c r="E53" s="1092"/>
      <c r="F53" s="1092"/>
      <c r="G53" s="379">
        <f ca="1">SUM(E47:E52)</f>
        <v>10652.16</v>
      </c>
      <c r="H53" s="72"/>
    </row>
    <row r="54" spans="1:10" s="61" customFormat="1" ht="15.95" customHeight="1" thickBot="1" x14ac:dyDescent="0.35">
      <c r="A54" s="64"/>
      <c r="B54" s="1047" t="s">
        <v>440</v>
      </c>
      <c r="C54" s="1048"/>
      <c r="D54" s="1048"/>
      <c r="E54" s="1048"/>
      <c r="F54" s="1049"/>
      <c r="G54" s="380">
        <f ca="1">G53*12</f>
        <v>127825.92</v>
      </c>
      <c r="H54" s="72"/>
      <c r="I54" s="159"/>
      <c r="J54" s="160"/>
    </row>
    <row r="55" spans="1:10" s="61" customFormat="1" ht="15.95" customHeight="1" x14ac:dyDescent="0.3">
      <c r="A55" s="64"/>
      <c r="B55" s="1056" t="s">
        <v>430</v>
      </c>
      <c r="C55" s="1057"/>
      <c r="D55" s="1057"/>
      <c r="E55" s="1057"/>
      <c r="F55" s="1057"/>
      <c r="G55" s="378">
        <f>'Insumos Diversos'!D136</f>
        <v>0</v>
      </c>
      <c r="H55" s="72"/>
      <c r="I55" s="159"/>
      <c r="J55" s="160"/>
    </row>
    <row r="56" spans="1:10" s="61" customFormat="1" ht="15.95" customHeight="1" thickBot="1" x14ac:dyDescent="0.35">
      <c r="A56" s="64"/>
      <c r="B56" s="1052" t="s">
        <v>437</v>
      </c>
      <c r="C56" s="1053"/>
      <c r="D56" s="1053"/>
      <c r="E56" s="1053"/>
      <c r="F56" s="1053"/>
      <c r="G56" s="369">
        <f>G55*12</f>
        <v>0</v>
      </c>
      <c r="H56" s="72"/>
      <c r="I56" s="159"/>
      <c r="J56" s="160"/>
    </row>
    <row r="57" spans="1:10" s="61" customFormat="1" ht="15.95" customHeight="1" x14ac:dyDescent="0.3">
      <c r="A57" s="64"/>
      <c r="B57" s="1054" t="s">
        <v>434</v>
      </c>
      <c r="C57" s="1055"/>
      <c r="D57" s="1055"/>
      <c r="E57" s="1055"/>
      <c r="F57" s="1055"/>
      <c r="G57" s="381">
        <f ca="1">SUM(G55,G53)</f>
        <v>10652.16</v>
      </c>
      <c r="H57" s="72"/>
      <c r="I57" s="159"/>
      <c r="J57" s="160"/>
    </row>
    <row r="58" spans="1:10" s="61" customFormat="1" ht="15.95" customHeight="1" thickBot="1" x14ac:dyDescent="0.35">
      <c r="A58" s="64"/>
      <c r="B58" s="1050" t="s">
        <v>435</v>
      </c>
      <c r="C58" s="1051"/>
      <c r="D58" s="1051"/>
      <c r="E58" s="1051"/>
      <c r="F58" s="1051"/>
      <c r="G58" s="377">
        <f ca="1">G57*12</f>
        <v>127825.92</v>
      </c>
      <c r="H58" s="72"/>
      <c r="I58" s="159"/>
      <c r="J58" s="160"/>
    </row>
    <row r="59" spans="1:10" s="61" customFormat="1" ht="15.95" customHeight="1" x14ac:dyDescent="0.3">
      <c r="B59" s="208" t="s">
        <v>160</v>
      </c>
      <c r="C59" s="59"/>
      <c r="D59" s="59"/>
      <c r="E59" s="59"/>
      <c r="F59" s="59"/>
      <c r="G59" s="59"/>
      <c r="H59" s="72"/>
    </row>
    <row r="60" spans="1:10" s="61" customFormat="1" ht="15.95" customHeight="1" x14ac:dyDescent="0.3">
      <c r="B60" s="1061" t="s">
        <v>253</v>
      </c>
      <c r="C60" s="1062"/>
      <c r="D60" s="1062"/>
      <c r="E60" s="1062"/>
      <c r="F60" s="1062"/>
      <c r="G60" s="1062"/>
      <c r="H60" s="1063"/>
    </row>
    <row r="61" spans="1:10" s="61" customFormat="1" ht="22.5" customHeight="1" x14ac:dyDescent="0.3">
      <c r="B61" s="1064" t="s">
        <v>412</v>
      </c>
      <c r="C61" s="1065"/>
      <c r="D61" s="1065"/>
      <c r="E61" s="1065"/>
      <c r="F61" s="1065"/>
      <c r="G61" s="1065"/>
      <c r="H61" s="1066"/>
    </row>
    <row r="62" spans="1:10" s="61" customFormat="1" ht="30.75" customHeight="1" x14ac:dyDescent="0.3">
      <c r="B62" s="1067" t="s">
        <v>317</v>
      </c>
      <c r="C62" s="1068"/>
      <c r="D62" s="1068"/>
      <c r="E62" s="1068"/>
      <c r="F62" s="1068"/>
      <c r="G62" s="1068"/>
      <c r="H62" s="1069"/>
    </row>
    <row r="63" spans="1:10" s="61" customFormat="1" ht="15.95" customHeight="1" x14ac:dyDescent="0.3">
      <c r="B63" s="1070" t="s">
        <v>192</v>
      </c>
      <c r="C63" s="1071"/>
      <c r="D63" s="1071"/>
      <c r="E63" s="1071"/>
      <c r="F63" s="1071"/>
      <c r="G63" s="1071"/>
      <c r="H63" s="1072"/>
    </row>
    <row r="64" spans="1:10" s="61" customFormat="1" ht="35.25" customHeight="1" thickBot="1" x14ac:dyDescent="0.35">
      <c r="B64" s="1058" t="s">
        <v>213</v>
      </c>
      <c r="C64" s="1059"/>
      <c r="D64" s="1059"/>
      <c r="E64" s="1059"/>
      <c r="F64" s="1059"/>
      <c r="G64" s="1059"/>
      <c r="H64" s="1060"/>
    </row>
    <row r="65" spans="1:8" s="61" customFormat="1" ht="15.95" customHeight="1" x14ac:dyDescent="0.3">
      <c r="A65" s="71"/>
      <c r="B65" s="304"/>
      <c r="C65" s="304"/>
      <c r="D65" s="304"/>
      <c r="E65" s="304"/>
      <c r="F65" s="304"/>
      <c r="G65" s="304"/>
      <c r="H65" s="305"/>
    </row>
    <row r="66" spans="1:8" s="61" customFormat="1" ht="15.95" customHeight="1" x14ac:dyDescent="0.3">
      <c r="A66" s="71"/>
    </row>
    <row r="67" spans="1:8" s="61" customFormat="1" ht="15.95" customHeight="1" x14ac:dyDescent="0.3">
      <c r="A67" s="71"/>
    </row>
    <row r="68" spans="1:8" s="61" customFormat="1" ht="15.95" customHeight="1" x14ac:dyDescent="0.3">
      <c r="A68" s="71"/>
    </row>
    <row r="69" spans="1:8" s="61" customFormat="1" ht="15.95" customHeight="1" x14ac:dyDescent="0.3">
      <c r="A69" s="71"/>
    </row>
    <row r="70" spans="1:8" s="61" customFormat="1" ht="15.95" customHeight="1" x14ac:dyDescent="0.3">
      <c r="A70" s="71"/>
    </row>
    <row r="71" spans="1:8" s="61" customFormat="1" ht="15.95" customHeight="1" x14ac:dyDescent="0.3">
      <c r="A71" s="71"/>
    </row>
    <row r="72" spans="1:8" s="61" customFormat="1" ht="15.95" customHeight="1" x14ac:dyDescent="0.3">
      <c r="A72" s="71"/>
    </row>
    <row r="73" spans="1:8" s="61" customFormat="1" ht="15.95" customHeight="1" x14ac:dyDescent="0.3">
      <c r="A73" s="71"/>
      <c r="B73" s="57"/>
      <c r="C73" s="57"/>
      <c r="D73" s="57"/>
      <c r="E73" s="57"/>
      <c r="F73" s="57"/>
    </row>
    <row r="74" spans="1:8" s="61" customFormat="1" ht="15.95" customHeight="1" x14ac:dyDescent="0.3">
      <c r="B74" s="57"/>
      <c r="C74" s="57"/>
      <c r="D74" s="57"/>
      <c r="E74" s="57"/>
      <c r="F74" s="57"/>
      <c r="G74" s="57"/>
    </row>
    <row r="75" spans="1:8" s="61" customFormat="1" ht="15.95" customHeight="1" x14ac:dyDescent="0.3">
      <c r="B75" s="57"/>
      <c r="C75" s="57"/>
      <c r="D75" s="57"/>
      <c r="E75" s="57"/>
      <c r="F75" s="57"/>
      <c r="G75" s="57"/>
      <c r="H75" s="57"/>
    </row>
    <row r="76" spans="1:8" s="61" customFormat="1" ht="15.95" customHeight="1" x14ac:dyDescent="0.3">
      <c r="A76" s="71"/>
      <c r="B76" s="57"/>
      <c r="C76" s="57"/>
      <c r="D76" s="57"/>
      <c r="E76" s="57"/>
      <c r="F76" s="57"/>
      <c r="G76" s="57"/>
      <c r="H76" s="57"/>
    </row>
    <row r="77" spans="1:8" s="61" customFormat="1" ht="15.95" customHeight="1" x14ac:dyDescent="0.3">
      <c r="A77" s="71"/>
      <c r="B77" s="57"/>
      <c r="C77" s="57"/>
      <c r="D77" s="57"/>
      <c r="E77" s="57"/>
      <c r="F77" s="57"/>
      <c r="G77" s="57"/>
      <c r="H77" s="57"/>
    </row>
    <row r="78" spans="1:8" s="61" customFormat="1" ht="15.95" customHeight="1" x14ac:dyDescent="0.3">
      <c r="B78" s="57"/>
      <c r="C78" s="57"/>
      <c r="D78" s="57"/>
      <c r="E78" s="57"/>
      <c r="F78" s="57"/>
      <c r="G78" s="57"/>
      <c r="H78" s="57"/>
    </row>
    <row r="82" ht="13.35" customHeight="1" x14ac:dyDescent="0.3"/>
    <row r="102" ht="12.95" customHeight="1" x14ac:dyDescent="0.3"/>
    <row r="103" ht="10.5" customHeight="1" x14ac:dyDescent="0.3"/>
    <row r="114" ht="12" customHeight="1" x14ac:dyDescent="0.3"/>
    <row r="115" ht="12" customHeight="1" x14ac:dyDescent="0.3"/>
    <row r="126" ht="13.5" customHeight="1" x14ac:dyDescent="0.3"/>
    <row r="173" ht="10.5" customHeight="1" x14ac:dyDescent="0.3"/>
    <row r="174" ht="10.5" customHeight="1" x14ac:dyDescent="0.3"/>
  </sheetData>
  <mergeCells count="39">
    <mergeCell ref="B53:F53"/>
    <mergeCell ref="B1:H1"/>
    <mergeCell ref="B2:H2"/>
    <mergeCell ref="B3:H3"/>
    <mergeCell ref="E45:E46"/>
    <mergeCell ref="C43:D43"/>
    <mergeCell ref="E34:E35"/>
    <mergeCell ref="F34:F35"/>
    <mergeCell ref="G34:G35"/>
    <mergeCell ref="H34:H35"/>
    <mergeCell ref="B45:B46"/>
    <mergeCell ref="C45:C46"/>
    <mergeCell ref="D45:D46"/>
    <mergeCell ref="F45:F46"/>
    <mergeCell ref="G45:G46"/>
    <mergeCell ref="C6:H6"/>
    <mergeCell ref="J3:K3"/>
    <mergeCell ref="G8:G12"/>
    <mergeCell ref="B34:B35"/>
    <mergeCell ref="C34:C35"/>
    <mergeCell ref="D34:D35"/>
    <mergeCell ref="B14:E14"/>
    <mergeCell ref="B15:E15"/>
    <mergeCell ref="B16:E16"/>
    <mergeCell ref="C25:D25"/>
    <mergeCell ref="C29:D29"/>
    <mergeCell ref="C32:D32"/>
    <mergeCell ref="F8:F12"/>
    <mergeCell ref="B4:H5"/>
    <mergeCell ref="B64:H64"/>
    <mergeCell ref="B60:H60"/>
    <mergeCell ref="B61:H61"/>
    <mergeCell ref="B62:H62"/>
    <mergeCell ref="B63:H63"/>
    <mergeCell ref="B54:F54"/>
    <mergeCell ref="B58:F58"/>
    <mergeCell ref="B56:F56"/>
    <mergeCell ref="B57:F57"/>
    <mergeCell ref="B55:F55"/>
  </mergeCells>
  <dataValidations disablePrompts="1" count="1">
    <dataValidation type="custom" allowBlank="1" showErrorMessage="1" errorTitle="Erro" error="Não é permitido escrever nesta célula" sqref="IP88 SL88 ACH88 AMD88 AVZ88 BFV88 BPR88 BZN88 CJJ88 CTF88 DDB88 DMX88 DWT88 EGP88 EQL88 FAH88 FKD88 FTZ88 GDV88 GNR88 GXN88 HHJ88 HRF88 IBB88 IKX88 IUT88 JEP88 JOL88 JYH88 KID88 KRZ88 LBV88 LLR88 LVN88 MFJ88 MPF88 MZB88 NIX88 NST88 OCP88 OML88 OWH88 PGD88 PPZ88 PZV88 QJR88 QTN88 RDJ88 RNF88 RXB88 SGX88 SQT88 TAP88 TKL88 TUH88 UED88 UNZ88 UXV88 VHR88 VRN88 WBJ88 WLF88 WVB88 IP65624 SL65624 ACH65624 AMD65624 AVZ65624 BFV65624 BPR65624 BZN65624 CJJ65624 CTF65624 DDB65624 DMX65624 DWT65624 EGP65624 EQL65624 FAH65624 FKD65624 FTZ65624 GDV65624 GNR65624 GXN65624 HHJ65624 HRF65624 IBB65624 IKX65624 IUT65624 JEP65624 JOL65624 JYH65624 KID65624 KRZ65624 LBV65624 LLR65624 LVN65624 MFJ65624 MPF65624 MZB65624 NIX65624 NST65624 OCP65624 OML65624 OWH65624 PGD65624 PPZ65624 PZV65624 QJR65624 QTN65624 RDJ65624 RNF65624 RXB65624 SGX65624 SQT65624 TAP65624 TKL65624 TUH65624 UED65624 UNZ65624 UXV65624 VHR65624 VRN65624 WBJ65624 WLF65624 WVB65624 IP131160 SL131160 ACH131160 AMD131160 AVZ131160 BFV131160 BPR131160 BZN131160 CJJ131160 CTF131160 DDB131160 DMX131160 DWT131160 EGP131160 EQL131160 FAH131160 FKD131160 FTZ131160 GDV131160 GNR131160 GXN131160 HHJ131160 HRF131160 IBB131160 IKX131160 IUT131160 JEP131160 JOL131160 JYH131160 KID131160 KRZ131160 LBV131160 LLR131160 LVN131160 MFJ131160 MPF131160 MZB131160 NIX131160 NST131160 OCP131160 OML131160 OWH131160 PGD131160 PPZ131160 PZV131160 QJR131160 QTN131160 RDJ131160 RNF131160 RXB131160 SGX131160 SQT131160 TAP131160 TKL131160 TUH131160 UED131160 UNZ131160 UXV131160 VHR131160 VRN131160 WBJ131160 WLF131160 WVB131160 IP196696 SL196696 ACH196696 AMD196696 AVZ196696 BFV196696 BPR196696 BZN196696 CJJ196696 CTF196696 DDB196696 DMX196696 DWT196696 EGP196696 EQL196696 FAH196696 FKD196696 FTZ196696 GDV196696 GNR196696 GXN196696 HHJ196696 HRF196696 IBB196696 IKX196696 IUT196696 JEP196696 JOL196696 JYH196696 KID196696 KRZ196696 LBV196696 LLR196696 LVN196696 MFJ196696 MPF196696 MZB196696 NIX196696 NST196696 OCP196696 OML196696 OWH196696 PGD196696 PPZ196696 PZV196696 QJR196696 QTN196696 RDJ196696 RNF196696 RXB196696 SGX196696 SQT196696 TAP196696 TKL196696 TUH196696 UED196696 UNZ196696 UXV196696 VHR196696 VRN196696 WBJ196696 WLF196696 WVB196696 IP262232 SL262232 ACH262232 AMD262232 AVZ262232 BFV262232 BPR262232 BZN262232 CJJ262232 CTF262232 DDB262232 DMX262232 DWT262232 EGP262232 EQL262232 FAH262232 FKD262232 FTZ262232 GDV262232 GNR262232 GXN262232 HHJ262232 HRF262232 IBB262232 IKX262232 IUT262232 JEP262232 JOL262232 JYH262232 KID262232 KRZ262232 LBV262232 LLR262232 LVN262232 MFJ262232 MPF262232 MZB262232 NIX262232 NST262232 OCP262232 OML262232 OWH262232 PGD262232 PPZ262232 PZV262232 QJR262232 QTN262232 RDJ262232 RNF262232 RXB262232 SGX262232 SQT262232 TAP262232 TKL262232 TUH262232 UED262232 UNZ262232 UXV262232 VHR262232 VRN262232 WBJ262232 WLF262232 WVB262232 IP327768 SL327768 ACH327768 AMD327768 AVZ327768 BFV327768 BPR327768 BZN327768 CJJ327768 CTF327768 DDB327768 DMX327768 DWT327768 EGP327768 EQL327768 FAH327768 FKD327768 FTZ327768 GDV327768 GNR327768 GXN327768 HHJ327768 HRF327768 IBB327768 IKX327768 IUT327768 JEP327768 JOL327768 JYH327768 KID327768 KRZ327768 LBV327768 LLR327768 LVN327768 MFJ327768 MPF327768 MZB327768 NIX327768 NST327768 OCP327768 OML327768 OWH327768 PGD327768 PPZ327768 PZV327768 QJR327768 QTN327768 RDJ327768 RNF327768 RXB327768 SGX327768 SQT327768 TAP327768 TKL327768 TUH327768 UED327768 UNZ327768 UXV327768 VHR327768 VRN327768 WBJ327768 WLF327768 WVB327768 IP393304 SL393304 ACH393304 AMD393304 AVZ393304 BFV393304 BPR393304 BZN393304 CJJ393304 CTF393304 DDB393304 DMX393304 DWT393304 EGP393304 EQL393304 FAH393304 FKD393304 FTZ393304 GDV393304 GNR393304 GXN393304 HHJ393304 HRF393304 IBB393304 IKX393304 IUT393304 JEP393304 JOL393304 JYH393304 KID393304 KRZ393304 LBV393304 LLR393304 LVN393304 MFJ393304 MPF393304 MZB393304 NIX393304 NST393304 OCP393304 OML393304 OWH393304 PGD393304 PPZ393304 PZV393304 QJR393304 QTN393304 RDJ393304 RNF393304 RXB393304 SGX393304 SQT393304 TAP393304 TKL393304 TUH393304 UED393304 UNZ393304 UXV393304 VHR393304 VRN393304 WBJ393304 WLF393304 WVB393304 IP458840 SL458840 ACH458840 AMD458840 AVZ458840 BFV458840 BPR458840 BZN458840 CJJ458840 CTF458840 DDB458840 DMX458840 DWT458840 EGP458840 EQL458840 FAH458840 FKD458840 FTZ458840 GDV458840 GNR458840 GXN458840 HHJ458840 HRF458840 IBB458840 IKX458840 IUT458840 JEP458840 JOL458840 JYH458840 KID458840 KRZ458840 LBV458840 LLR458840 LVN458840 MFJ458840 MPF458840 MZB458840 NIX458840 NST458840 OCP458840 OML458840 OWH458840 PGD458840 PPZ458840 PZV458840 QJR458840 QTN458840 RDJ458840 RNF458840 RXB458840 SGX458840 SQT458840 TAP458840 TKL458840 TUH458840 UED458840 UNZ458840 UXV458840 VHR458840 VRN458840 WBJ458840 WLF458840 WVB458840 IP524376 SL524376 ACH524376 AMD524376 AVZ524376 BFV524376 BPR524376 BZN524376 CJJ524376 CTF524376 DDB524376 DMX524376 DWT524376 EGP524376 EQL524376 FAH524376 FKD524376 FTZ524376 GDV524376 GNR524376 GXN524376 HHJ524376 HRF524376 IBB524376 IKX524376 IUT524376 JEP524376 JOL524376 JYH524376 KID524376 KRZ524376 LBV524376 LLR524376 LVN524376 MFJ524376 MPF524376 MZB524376 NIX524376 NST524376 OCP524376 OML524376 OWH524376 PGD524376 PPZ524376 PZV524376 QJR524376 QTN524376 RDJ524376 RNF524376 RXB524376 SGX524376 SQT524376 TAP524376 TKL524376 TUH524376 UED524376 UNZ524376 UXV524376 VHR524376 VRN524376 WBJ524376 WLF524376 WVB524376 IP589912 SL589912 ACH589912 AMD589912 AVZ589912 BFV589912 BPR589912 BZN589912 CJJ589912 CTF589912 DDB589912 DMX589912 DWT589912 EGP589912 EQL589912 FAH589912 FKD589912 FTZ589912 GDV589912 GNR589912 GXN589912 HHJ589912 HRF589912 IBB589912 IKX589912 IUT589912 JEP589912 JOL589912 JYH589912 KID589912 KRZ589912 LBV589912 LLR589912 LVN589912 MFJ589912 MPF589912 MZB589912 NIX589912 NST589912 OCP589912 OML589912 OWH589912 PGD589912 PPZ589912 PZV589912 QJR589912 QTN589912 RDJ589912 RNF589912 RXB589912 SGX589912 SQT589912 TAP589912 TKL589912 TUH589912 UED589912 UNZ589912 UXV589912 VHR589912 VRN589912 WBJ589912 WLF589912 WVB589912 IP655448 SL655448 ACH655448 AMD655448 AVZ655448 BFV655448 BPR655448 BZN655448 CJJ655448 CTF655448 DDB655448 DMX655448 DWT655448 EGP655448 EQL655448 FAH655448 FKD655448 FTZ655448 GDV655448 GNR655448 GXN655448 HHJ655448 HRF655448 IBB655448 IKX655448 IUT655448 JEP655448 JOL655448 JYH655448 KID655448 KRZ655448 LBV655448 LLR655448 LVN655448 MFJ655448 MPF655448 MZB655448 NIX655448 NST655448 OCP655448 OML655448 OWH655448 PGD655448 PPZ655448 PZV655448 QJR655448 QTN655448 RDJ655448 RNF655448 RXB655448 SGX655448 SQT655448 TAP655448 TKL655448 TUH655448 UED655448 UNZ655448 UXV655448 VHR655448 VRN655448 WBJ655448 WLF655448 WVB655448 IP720984 SL720984 ACH720984 AMD720984 AVZ720984 BFV720984 BPR720984 BZN720984 CJJ720984 CTF720984 DDB720984 DMX720984 DWT720984 EGP720984 EQL720984 FAH720984 FKD720984 FTZ720984 GDV720984 GNR720984 GXN720984 HHJ720984 HRF720984 IBB720984 IKX720984 IUT720984 JEP720984 JOL720984 JYH720984 KID720984 KRZ720984 LBV720984 LLR720984 LVN720984 MFJ720984 MPF720984 MZB720984 NIX720984 NST720984 OCP720984 OML720984 OWH720984 PGD720984 PPZ720984 PZV720984 QJR720984 QTN720984 RDJ720984 RNF720984 RXB720984 SGX720984 SQT720984 TAP720984 TKL720984 TUH720984 UED720984 UNZ720984 UXV720984 VHR720984 VRN720984 WBJ720984 WLF720984 WVB720984 IP786520 SL786520 ACH786520 AMD786520 AVZ786520 BFV786520 BPR786520 BZN786520 CJJ786520 CTF786520 DDB786520 DMX786520 DWT786520 EGP786520 EQL786520 FAH786520 FKD786520 FTZ786520 GDV786520 GNR786520 GXN786520 HHJ786520 HRF786520 IBB786520 IKX786520 IUT786520 JEP786520 JOL786520 JYH786520 KID786520 KRZ786520 LBV786520 LLR786520 LVN786520 MFJ786520 MPF786520 MZB786520 NIX786520 NST786520 OCP786520 OML786520 OWH786520 PGD786520 PPZ786520 PZV786520 QJR786520 QTN786520 RDJ786520 RNF786520 RXB786520 SGX786520 SQT786520 TAP786520 TKL786520 TUH786520 UED786520 UNZ786520 UXV786520 VHR786520 VRN786520 WBJ786520 WLF786520 WVB786520 IP852056 SL852056 ACH852056 AMD852056 AVZ852056 BFV852056 BPR852056 BZN852056 CJJ852056 CTF852056 DDB852056 DMX852056 DWT852056 EGP852056 EQL852056 FAH852056 FKD852056 FTZ852056 GDV852056 GNR852056 GXN852056 HHJ852056 HRF852056 IBB852056 IKX852056 IUT852056 JEP852056 JOL852056 JYH852056 KID852056 KRZ852056 LBV852056 LLR852056 LVN852056 MFJ852056 MPF852056 MZB852056 NIX852056 NST852056 OCP852056 OML852056 OWH852056 PGD852056 PPZ852056 PZV852056 QJR852056 QTN852056 RDJ852056 RNF852056 RXB852056 SGX852056 SQT852056 TAP852056 TKL852056 TUH852056 UED852056 UNZ852056 UXV852056 VHR852056 VRN852056 WBJ852056 WLF852056 WVB852056 IP917592 SL917592 ACH917592 AMD917592 AVZ917592 BFV917592 BPR917592 BZN917592 CJJ917592 CTF917592 DDB917592 DMX917592 DWT917592 EGP917592 EQL917592 FAH917592 FKD917592 FTZ917592 GDV917592 GNR917592 GXN917592 HHJ917592 HRF917592 IBB917592 IKX917592 IUT917592 JEP917592 JOL917592 JYH917592 KID917592 KRZ917592 LBV917592 LLR917592 LVN917592 MFJ917592 MPF917592 MZB917592 NIX917592 NST917592 OCP917592 OML917592 OWH917592 PGD917592 PPZ917592 PZV917592 QJR917592 QTN917592 RDJ917592 RNF917592 RXB917592 SGX917592 SQT917592 TAP917592 TKL917592 TUH917592 UED917592 UNZ917592 UXV917592 VHR917592 VRN917592 WBJ917592 WLF917592 WVB917592 IP983128 SL983128 ACH983128 AMD983128 AVZ983128 BFV983128 BPR983128 BZN983128 CJJ983128 CTF983128 DDB983128 DMX983128 DWT983128 EGP983128 EQL983128 FAH983128 FKD983128 FTZ983128 GDV983128 GNR983128 GXN983128 HHJ983128 HRF983128 IBB983128 IKX983128 IUT983128 JEP983128 JOL983128 JYH983128 KID983128 KRZ983128 LBV983128 LLR983128 LVN983128 MFJ983128 MPF983128 MZB983128 NIX983128 NST983128 OCP983128 OML983128 OWH983128 PGD983128 PPZ983128 PZV983128 QJR983128 QTN983128 RDJ983128 RNF983128 RXB983128 SGX983128 SQT983128 TAP983128 TKL983128 TUH983128 UED983128 UNZ983128 UXV983128 VHR983128 VRN983128 WBJ983128 WLF983128 WVB983128">
      <formula1>"&lt;""""&gt; "</formula1>
      <formula2>0</formula2>
    </dataValidation>
  </dataValidations>
  <pageMargins left="0.98425196850393704" right="0.39370078740157483" top="0.78740157480314965" bottom="0.98425196850393704" header="0.59055118110236227" footer="0.78740157480314965"/>
  <pageSetup paperSize="9" scale="59" firstPageNumber="0" orientation="portrait" r:id="rId1"/>
  <headerFooter alignWithMargins="0">
    <oddHeader>&amp;RPlanilha MODELO LICITANTE</oddHeader>
    <oddFooter>&amp;C&amp;"Arial Narrow,Normal"&amp;A - Página &amp;P</oddFooter>
  </headerFooter>
  <ignoredErrors>
    <ignoredError sqref="G55 G57" formula="1"/>
  </ignoredError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09"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480</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175</v>
      </c>
      <c r="G16" s="1017"/>
      <c r="H16" s="3"/>
    </row>
    <row r="17" spans="1:8" ht="14.1" customHeight="1" x14ac:dyDescent="0.2">
      <c r="A17" s="1000" t="s">
        <v>21</v>
      </c>
      <c r="B17" s="1001"/>
      <c r="C17" s="1001"/>
      <c r="D17" s="1001"/>
      <c r="E17" s="1002"/>
      <c r="F17" s="1016" t="s">
        <v>148</v>
      </c>
      <c r="G17" s="1017"/>
      <c r="H17" s="3"/>
    </row>
    <row r="18" spans="1:8" ht="14.1" customHeight="1" x14ac:dyDescent="0.2">
      <c r="A18" s="1000" t="s">
        <v>1</v>
      </c>
      <c r="B18" s="1001"/>
      <c r="C18" s="1001"/>
      <c r="D18" s="1001"/>
      <c r="E18" s="1002"/>
      <c r="F18" s="1010">
        <v>1717.2</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2</v>
      </c>
      <c r="G22" s="1009"/>
    </row>
    <row r="23" spans="1:8" ht="12.75" customHeight="1" x14ac:dyDescent="0.2">
      <c r="A23" s="1005" t="s">
        <v>25</v>
      </c>
      <c r="B23" s="1006"/>
      <c r="C23" s="1006"/>
      <c r="D23" s="1006"/>
      <c r="E23" s="1007"/>
      <c r="F23" s="1018" t="s">
        <v>214</v>
      </c>
      <c r="G23" s="1019"/>
    </row>
    <row r="24" spans="1:8" ht="25.5" customHeight="1" x14ac:dyDescent="0.2">
      <c r="A24" s="1046" t="s">
        <v>479</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301" t="s">
        <v>27</v>
      </c>
      <c r="G26" s="100" t="s">
        <v>3</v>
      </c>
    </row>
    <row r="27" spans="1:8" s="35" customFormat="1" x14ac:dyDescent="0.2">
      <c r="A27" s="101" t="s">
        <v>28</v>
      </c>
      <c r="B27" s="995" t="s">
        <v>153</v>
      </c>
      <c r="C27" s="995"/>
      <c r="D27" s="995"/>
      <c r="E27" s="995"/>
      <c r="F27" s="102">
        <v>1</v>
      </c>
      <c r="G27" s="103">
        <f>F18*F27</f>
        <v>1717.2</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2324.4</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193.62</v>
      </c>
      <c r="H37" s="54"/>
    </row>
    <row r="38" spans="1:8" x14ac:dyDescent="0.2">
      <c r="A38" s="108" t="s">
        <v>29</v>
      </c>
      <c r="B38" s="977" t="s">
        <v>157</v>
      </c>
      <c r="C38" s="978"/>
      <c r="D38" s="978"/>
      <c r="E38" s="990"/>
      <c r="F38" s="109">
        <f>ROUND((1/11)+(1/11)/3, 3)</f>
        <v>0.121</v>
      </c>
      <c r="G38" s="8">
        <f>ROUND(G$34*F38,2)</f>
        <v>281.25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963" t="s">
        <v>41</v>
      </c>
      <c r="B41" s="964"/>
      <c r="C41" s="964"/>
      <c r="D41" s="964"/>
      <c r="E41" s="962"/>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92"/>
      <c r="F43" s="44">
        <v>0.2</v>
      </c>
      <c r="G43" s="22">
        <f>ROUND((G$34)*F43,2)</f>
        <v>464.88</v>
      </c>
      <c r="H43" s="4"/>
    </row>
    <row r="44" spans="1:8" x14ac:dyDescent="0.2">
      <c r="A44" s="37" t="s">
        <v>29</v>
      </c>
      <c r="B44" s="975" t="s">
        <v>43</v>
      </c>
      <c r="C44" s="976"/>
      <c r="D44" s="976"/>
      <c r="E44" s="989"/>
      <c r="F44" s="106">
        <v>2.5000000000000001E-2</v>
      </c>
      <c r="G44" s="113">
        <f>ROUND((G$34)*F44,2)</f>
        <v>58.11</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34.869999999999997</v>
      </c>
      <c r="H46" s="4"/>
    </row>
    <row r="47" spans="1:8" x14ac:dyDescent="0.2">
      <c r="A47" s="37" t="s">
        <v>32</v>
      </c>
      <c r="B47" s="975" t="s">
        <v>46</v>
      </c>
      <c r="C47" s="976"/>
      <c r="D47" s="976"/>
      <c r="E47" s="989"/>
      <c r="F47" s="106">
        <v>0.01</v>
      </c>
      <c r="G47" s="113">
        <f t="shared" si="0"/>
        <v>23.24</v>
      </c>
      <c r="H47" s="4"/>
    </row>
    <row r="48" spans="1:8" x14ac:dyDescent="0.2">
      <c r="A48" s="37" t="s">
        <v>34</v>
      </c>
      <c r="B48" s="975" t="s">
        <v>47</v>
      </c>
      <c r="C48" s="976"/>
      <c r="D48" s="976"/>
      <c r="E48" s="989"/>
      <c r="F48" s="106">
        <v>6.0000000000000001E-3</v>
      </c>
      <c r="G48" s="113">
        <f t="shared" si="0"/>
        <v>13.95</v>
      </c>
      <c r="H48" s="4"/>
    </row>
    <row r="49" spans="1:8" x14ac:dyDescent="0.2">
      <c r="A49" s="37" t="s">
        <v>48</v>
      </c>
      <c r="B49" s="975" t="s">
        <v>49</v>
      </c>
      <c r="C49" s="976"/>
      <c r="D49" s="976"/>
      <c r="E49" s="989"/>
      <c r="F49" s="106">
        <v>2E-3</v>
      </c>
      <c r="G49" s="113">
        <f t="shared" si="0"/>
        <v>4.6500000000000004</v>
      </c>
      <c r="H49" s="4"/>
    </row>
    <row r="50" spans="1:8" x14ac:dyDescent="0.2">
      <c r="A50" s="108" t="s">
        <v>50</v>
      </c>
      <c r="B50" s="977" t="s">
        <v>51</v>
      </c>
      <c r="C50" s="978"/>
      <c r="D50" s="978"/>
      <c r="E50" s="990"/>
      <c r="F50" s="109">
        <v>0.08</v>
      </c>
      <c r="G50" s="113">
        <f t="shared" si="0"/>
        <v>185.95</v>
      </c>
      <c r="H50" s="4"/>
    </row>
    <row r="51" spans="1:8" x14ac:dyDescent="0.2">
      <c r="A51" s="963" t="s">
        <v>52</v>
      </c>
      <c r="B51" s="964"/>
      <c r="C51" s="964"/>
      <c r="D51" s="964"/>
      <c r="E51" s="962"/>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44</v>
      </c>
      <c r="G53" s="14">
        <f>IF(ROUND((E53*F53)-(G27*0.06),2)&lt;0,0,ROUND((E53*F53)-(G27*0.06),2))</f>
        <v>0</v>
      </c>
      <c r="H53" s="36"/>
    </row>
    <row r="54" spans="1:8" s="35" customFormat="1" x14ac:dyDescent="0.2">
      <c r="A54" s="37" t="s">
        <v>29</v>
      </c>
      <c r="B54" s="981" t="s">
        <v>56</v>
      </c>
      <c r="C54" s="982"/>
      <c r="D54" s="982"/>
      <c r="E54" s="115">
        <f>20.76-1.39</f>
        <v>19.37</v>
      </c>
      <c r="F54" s="116">
        <v>22</v>
      </c>
      <c r="G54" s="103">
        <f>ROUND((E54*F54),2)</f>
        <v>426.14</v>
      </c>
      <c r="H54" s="36"/>
    </row>
    <row r="55" spans="1:8" s="35" customFormat="1" x14ac:dyDescent="0.2">
      <c r="A55" s="37" t="s">
        <v>30</v>
      </c>
      <c r="B55" s="981" t="s">
        <v>58</v>
      </c>
      <c r="C55" s="982"/>
      <c r="D55" s="982"/>
      <c r="E55" s="115">
        <v>144.68</v>
      </c>
      <c r="F55" s="116">
        <v>1</v>
      </c>
      <c r="G55" s="103">
        <f>ROUND((E55*F55),2)</f>
        <v>144.68</v>
      </c>
      <c r="H55" s="36"/>
    </row>
    <row r="56" spans="1:8" s="35" customFormat="1" x14ac:dyDescent="0.2">
      <c r="A56" s="37" t="s">
        <v>31</v>
      </c>
      <c r="B56" s="981" t="s">
        <v>149</v>
      </c>
      <c r="C56" s="982"/>
      <c r="D56" s="982"/>
      <c r="E56" s="115">
        <v>35.33</v>
      </c>
      <c r="F56" s="116">
        <v>1</v>
      </c>
      <c r="G56" s="103">
        <f>ROUND((E56*F56),2)</f>
        <v>35.33</v>
      </c>
      <c r="H56" s="36"/>
    </row>
    <row r="57" spans="1:8" s="35" customFormat="1" x14ac:dyDescent="0.2">
      <c r="A57" s="37" t="s">
        <v>32</v>
      </c>
      <c r="B57" s="981" t="s">
        <v>179</v>
      </c>
      <c r="C57" s="982"/>
      <c r="D57" s="982"/>
      <c r="E57" s="738">
        <f>ROUND((F18*30%)*5%,2)*0</f>
        <v>0</v>
      </c>
      <c r="F57" s="116">
        <v>1</v>
      </c>
      <c r="G57" s="103">
        <f>ROUND((E57*F57),2)</f>
        <v>0</v>
      </c>
      <c r="H57" s="36"/>
    </row>
    <row r="58" spans="1:8" s="35" customFormat="1" x14ac:dyDescent="0.2">
      <c r="A58" s="37" t="s">
        <v>34</v>
      </c>
      <c r="B58" s="981" t="s">
        <v>150</v>
      </c>
      <c r="C58" s="982"/>
      <c r="D58" s="982"/>
      <c r="E58" s="115">
        <f>20.76</f>
        <v>20.76</v>
      </c>
      <c r="F58" s="116">
        <v>1</v>
      </c>
      <c r="G58" s="103">
        <f>ROUND((E58*F58)/12,2)</f>
        <v>1.73</v>
      </c>
      <c r="H58" s="36"/>
    </row>
    <row r="59" spans="1:8" s="35" customFormat="1" x14ac:dyDescent="0.2">
      <c r="A59" s="37" t="s">
        <v>48</v>
      </c>
      <c r="B59" s="987" t="s">
        <v>180</v>
      </c>
      <c r="C59" s="988"/>
      <c r="D59" s="988"/>
      <c r="E59" s="115">
        <f>15.96</f>
        <v>15.96</v>
      </c>
      <c r="F59" s="117">
        <v>1</v>
      </c>
      <c r="G59" s="118">
        <f>ROUND((E59*F59),2)</f>
        <v>15.96</v>
      </c>
      <c r="H59" s="36"/>
    </row>
    <row r="60" spans="1:8" s="35" customFormat="1" x14ac:dyDescent="0.2">
      <c r="A60" s="37" t="s">
        <v>50</v>
      </c>
      <c r="B60" s="981" t="s">
        <v>254</v>
      </c>
      <c r="C60" s="982"/>
      <c r="D60" s="982"/>
      <c r="E60" s="115">
        <v>300</v>
      </c>
      <c r="F60" s="116">
        <v>1</v>
      </c>
      <c r="G60" s="103">
        <f>ROUND((E60*F60),2)</f>
        <v>300</v>
      </c>
      <c r="H60" s="36"/>
    </row>
    <row r="61" spans="1:8" s="35" customFormat="1" x14ac:dyDescent="0.2">
      <c r="A61" s="101" t="s">
        <v>151</v>
      </c>
      <c r="B61" s="981" t="s">
        <v>152</v>
      </c>
      <c r="C61" s="982"/>
      <c r="D61" s="982"/>
      <c r="E61" s="115">
        <v>0</v>
      </c>
      <c r="F61" s="116">
        <v>1</v>
      </c>
      <c r="G61" s="119">
        <f>ROUND((E61*F61),2)</f>
        <v>0</v>
      </c>
      <c r="H61" s="36"/>
    </row>
    <row r="62" spans="1:8" s="35" customFormat="1" x14ac:dyDescent="0.2">
      <c r="A62" s="37" t="s">
        <v>417</v>
      </c>
      <c r="B62" s="985" t="s">
        <v>152</v>
      </c>
      <c r="C62" s="986"/>
      <c r="D62" s="986"/>
      <c r="E62" s="120">
        <v>0</v>
      </c>
      <c r="F62" s="116">
        <v>1</v>
      </c>
      <c r="G62" s="103">
        <v>0</v>
      </c>
      <c r="H62" s="36"/>
    </row>
    <row r="63" spans="1:8" x14ac:dyDescent="0.2">
      <c r="A63" s="936" t="s">
        <v>60</v>
      </c>
      <c r="B63" s="937"/>
      <c r="C63" s="937"/>
      <c r="D63" s="937"/>
      <c r="E63" s="937"/>
      <c r="F63" s="938"/>
      <c r="G63" s="105">
        <f>SUM(G53:G62)</f>
        <v>923.84</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635.49</v>
      </c>
      <c r="H65" s="4"/>
    </row>
    <row r="66" spans="1:8" x14ac:dyDescent="0.2">
      <c r="A66" s="121" t="s">
        <v>64</v>
      </c>
      <c r="B66" s="927" t="s">
        <v>128</v>
      </c>
      <c r="C66" s="928"/>
      <c r="D66" s="928"/>
      <c r="E66" s="928"/>
      <c r="F66" s="18">
        <f>F51</f>
        <v>0.33800000000000002</v>
      </c>
      <c r="G66" s="122">
        <f>G51</f>
        <v>785.65</v>
      </c>
      <c r="H66" s="4"/>
    </row>
    <row r="67" spans="1:8" x14ac:dyDescent="0.2">
      <c r="A67" s="121" t="s">
        <v>65</v>
      </c>
      <c r="B67" s="927" t="s">
        <v>66</v>
      </c>
      <c r="C67" s="928"/>
      <c r="D67" s="928"/>
      <c r="E67" s="928"/>
      <c r="F67" s="929"/>
      <c r="G67" s="122">
        <f>G63</f>
        <v>923.84</v>
      </c>
      <c r="H67" s="4"/>
    </row>
    <row r="68" spans="1:8" x14ac:dyDescent="0.2">
      <c r="A68" s="936" t="s">
        <v>67</v>
      </c>
      <c r="B68" s="937"/>
      <c r="C68" s="937"/>
      <c r="D68" s="937"/>
      <c r="E68" s="937"/>
      <c r="F68" s="938"/>
      <c r="G68" s="105">
        <f>SUM(G65:G67)</f>
        <v>2344.98</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EPI''s'!G17</f>
        <v>0</v>
      </c>
      <c r="F108" s="24">
        <v>1</v>
      </c>
      <c r="G108" s="103">
        <f>ROUND(SUM(C108:E108),2)*F108</f>
        <v>0</v>
      </c>
      <c r="H108" s="4"/>
    </row>
    <row r="109" spans="1:8" s="35" customFormat="1" x14ac:dyDescent="0.2">
      <c r="A109" s="37" t="s">
        <v>29</v>
      </c>
      <c r="B109" s="967" t="str">
        <f>'Uniformes e EPI''s'!A19</f>
        <v>EPI's</v>
      </c>
      <c r="C109" s="920"/>
      <c r="D109" s="920"/>
      <c r="E109" s="45">
        <f>'Uniformes e EPI''s'!F39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0.03</v>
      </c>
      <c r="G124" s="107">
        <f ca="1">ROUND(G$139*F124,2)</f>
        <v>144.41</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0.03</v>
      </c>
      <c r="G127" s="129">
        <f ca="1">SUM(G122:G126)</f>
        <v>144.41</v>
      </c>
      <c r="H127" s="4">
        <f ca="1">ROUND(G139*F127,2)</f>
        <v>144.41</v>
      </c>
    </row>
    <row r="128" spans="1:8" x14ac:dyDescent="0.2">
      <c r="A128" s="936" t="s">
        <v>104</v>
      </c>
      <c r="B128" s="937"/>
      <c r="C128" s="937"/>
      <c r="D128" s="937"/>
      <c r="E128" s="937"/>
      <c r="F128" s="23">
        <f>SUM(F119,F120,F127)</f>
        <v>0.03</v>
      </c>
      <c r="G128" s="126">
        <f ca="1">SUM(G119:G126)</f>
        <v>144.41</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2324.4</v>
      </c>
      <c r="H130" s="4"/>
    </row>
    <row r="131" spans="1:8" x14ac:dyDescent="0.2">
      <c r="A131" s="121" t="s">
        <v>29</v>
      </c>
      <c r="B131" s="927" t="s">
        <v>107</v>
      </c>
      <c r="C131" s="928"/>
      <c r="D131" s="928"/>
      <c r="E131" s="928"/>
      <c r="F131" s="929"/>
      <c r="G131" s="122">
        <f>G68</f>
        <v>2344.98</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4669.38</v>
      </c>
      <c r="H135" s="4"/>
    </row>
    <row r="136" spans="1:8" x14ac:dyDescent="0.2">
      <c r="A136" s="121" t="s">
        <v>34</v>
      </c>
      <c r="B136" s="933" t="s">
        <v>112</v>
      </c>
      <c r="C136" s="934"/>
      <c r="D136" s="934"/>
      <c r="E136" s="934"/>
      <c r="F136" s="935"/>
      <c r="G136" s="122">
        <f ca="1">G128</f>
        <v>144.41</v>
      </c>
      <c r="H136" s="4"/>
    </row>
    <row r="137" spans="1:8" x14ac:dyDescent="0.2">
      <c r="A137" s="936" t="s">
        <v>113</v>
      </c>
      <c r="B137" s="937"/>
      <c r="C137" s="937"/>
      <c r="D137" s="937"/>
      <c r="E137" s="937"/>
      <c r="F137" s="938"/>
      <c r="G137" s="105">
        <f ca="1">SUM(G135:G136)</f>
        <v>4813.79</v>
      </c>
      <c r="H137" s="4">
        <f ca="1">SUM(G130:G136)-G135</f>
        <v>4813.79</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4813.79</v>
      </c>
      <c r="H139" s="4"/>
    </row>
    <row r="140" spans="1:8" x14ac:dyDescent="0.2">
      <c r="A140" s="766"/>
      <c r="B140" s="767" t="s">
        <v>115</v>
      </c>
      <c r="C140" s="767"/>
      <c r="D140" s="767"/>
      <c r="E140" s="767"/>
      <c r="F140" s="768">
        <f>F21</f>
        <v>1</v>
      </c>
      <c r="G140" s="769">
        <f ca="1">G139*F140</f>
        <v>4813.79</v>
      </c>
      <c r="H140" s="4"/>
    </row>
    <row r="141" spans="1:8" x14ac:dyDescent="0.2">
      <c r="F141" s="30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00"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480</v>
      </c>
      <c r="G7" s="1036"/>
    </row>
    <row r="8" spans="1:8" ht="19.5" customHeight="1" x14ac:dyDescent="0.2">
      <c r="A8" s="1040" t="s">
        <v>215</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t="s">
        <v>465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216</v>
      </c>
      <c r="G16" s="1017"/>
      <c r="H16" s="3"/>
    </row>
    <row r="17" spans="1:8" ht="14.1" customHeight="1" x14ac:dyDescent="0.2">
      <c r="A17" s="1000" t="s">
        <v>21</v>
      </c>
      <c r="B17" s="1001"/>
      <c r="C17" s="1001"/>
      <c r="D17" s="1001"/>
      <c r="E17" s="1002"/>
      <c r="F17" s="1016" t="s">
        <v>218</v>
      </c>
      <c r="G17" s="1017"/>
      <c r="H17" s="3"/>
    </row>
    <row r="18" spans="1:8" ht="14.1" customHeight="1" x14ac:dyDescent="0.2">
      <c r="A18" s="1000" t="s">
        <v>1</v>
      </c>
      <c r="B18" s="1001"/>
      <c r="C18" s="1001"/>
      <c r="D18" s="1001"/>
      <c r="E18" s="1002"/>
      <c r="F18" s="1010">
        <v>1732.39</v>
      </c>
      <c r="G18" s="1011"/>
    </row>
    <row r="19" spans="1:8" ht="14.1" customHeight="1" x14ac:dyDescent="0.2">
      <c r="A19" s="1005" t="s">
        <v>8</v>
      </c>
      <c r="B19" s="1006"/>
      <c r="C19" s="1006"/>
      <c r="D19" s="1006"/>
      <c r="E19" s="1007"/>
      <c r="F19" s="1012">
        <v>45717</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5.5" customHeight="1" x14ac:dyDescent="0.2">
      <c r="A24" s="1046" t="s">
        <v>466</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301" t="s">
        <v>27</v>
      </c>
      <c r="G26" s="100" t="s">
        <v>3</v>
      </c>
    </row>
    <row r="27" spans="1:8" s="35" customFormat="1" x14ac:dyDescent="0.2">
      <c r="A27" s="101" t="s">
        <v>28</v>
      </c>
      <c r="B27" s="995" t="s">
        <v>153</v>
      </c>
      <c r="C27" s="995"/>
      <c r="D27" s="995"/>
      <c r="E27" s="995"/>
      <c r="F27" s="102">
        <v>1</v>
      </c>
      <c r="G27" s="103">
        <f>F18*F27</f>
        <v>1732.39</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0.2</v>
      </c>
      <c r="G29" s="103">
        <f>ROUND(F15*F29,2)</f>
        <v>303.60000000000002</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2035.99</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169.6</v>
      </c>
      <c r="H37" s="54"/>
    </row>
    <row r="38" spans="1:8" x14ac:dyDescent="0.2">
      <c r="A38" s="108" t="s">
        <v>29</v>
      </c>
      <c r="B38" s="977" t="s">
        <v>157</v>
      </c>
      <c r="C38" s="978"/>
      <c r="D38" s="978"/>
      <c r="E38" s="990"/>
      <c r="F38" s="109">
        <f>ROUND((1/11)+(1/11)/3, 3)</f>
        <v>0.121</v>
      </c>
      <c r="G38" s="8">
        <f>ROUND(G$34*F38,2)</f>
        <v>246.35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963" t="s">
        <v>41</v>
      </c>
      <c r="B41" s="964"/>
      <c r="C41" s="964"/>
      <c r="D41" s="964"/>
      <c r="E41" s="962"/>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92"/>
      <c r="F43" s="44">
        <v>0.2</v>
      </c>
      <c r="G43" s="22">
        <f>ROUND((G$34)*F43,2)</f>
        <v>407.2</v>
      </c>
      <c r="H43" s="4"/>
    </row>
    <row r="44" spans="1:8" x14ac:dyDescent="0.2">
      <c r="A44" s="37" t="s">
        <v>29</v>
      </c>
      <c r="B44" s="975" t="s">
        <v>43</v>
      </c>
      <c r="C44" s="976"/>
      <c r="D44" s="976"/>
      <c r="E44" s="989"/>
      <c r="F44" s="106">
        <v>2.5000000000000001E-2</v>
      </c>
      <c r="G44" s="113">
        <f>ROUND((G$34)*F44,2)</f>
        <v>50.9</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30.54</v>
      </c>
      <c r="H46" s="4"/>
    </row>
    <row r="47" spans="1:8" x14ac:dyDescent="0.2">
      <c r="A47" s="37" t="s">
        <v>32</v>
      </c>
      <c r="B47" s="975" t="s">
        <v>46</v>
      </c>
      <c r="C47" s="976"/>
      <c r="D47" s="976"/>
      <c r="E47" s="989"/>
      <c r="F47" s="106">
        <v>0.01</v>
      </c>
      <c r="G47" s="113">
        <f t="shared" si="0"/>
        <v>20.36</v>
      </c>
      <c r="H47" s="4"/>
    </row>
    <row r="48" spans="1:8" x14ac:dyDescent="0.2">
      <c r="A48" s="37" t="s">
        <v>34</v>
      </c>
      <c r="B48" s="975" t="s">
        <v>47</v>
      </c>
      <c r="C48" s="976"/>
      <c r="D48" s="976"/>
      <c r="E48" s="989"/>
      <c r="F48" s="106">
        <v>6.0000000000000001E-3</v>
      </c>
      <c r="G48" s="113">
        <f t="shared" si="0"/>
        <v>12.22</v>
      </c>
      <c r="H48" s="4"/>
    </row>
    <row r="49" spans="1:8" x14ac:dyDescent="0.2">
      <c r="A49" s="37" t="s">
        <v>48</v>
      </c>
      <c r="B49" s="975" t="s">
        <v>49</v>
      </c>
      <c r="C49" s="976"/>
      <c r="D49" s="976"/>
      <c r="E49" s="989"/>
      <c r="F49" s="106">
        <v>2E-3</v>
      </c>
      <c r="G49" s="113">
        <f t="shared" si="0"/>
        <v>4.07</v>
      </c>
      <c r="H49" s="4"/>
    </row>
    <row r="50" spans="1:8" x14ac:dyDescent="0.2">
      <c r="A50" s="108" t="s">
        <v>50</v>
      </c>
      <c r="B50" s="977" t="s">
        <v>51</v>
      </c>
      <c r="C50" s="978"/>
      <c r="D50" s="978"/>
      <c r="E50" s="990"/>
      <c r="F50" s="109">
        <v>0.08</v>
      </c>
      <c r="G50" s="113">
        <f t="shared" si="0"/>
        <v>162.88</v>
      </c>
      <c r="H50" s="4"/>
    </row>
    <row r="51" spans="1:8" x14ac:dyDescent="0.2">
      <c r="A51" s="963" t="s">
        <v>52</v>
      </c>
      <c r="B51" s="964"/>
      <c r="C51" s="964"/>
      <c r="D51" s="964"/>
      <c r="E51" s="962"/>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44</v>
      </c>
      <c r="G53" s="14">
        <f>IF(ROUND((E53*F53)-(G27*0.06),2)&lt;0,0,ROUND((E53*F53)-(G27*0.06),2))</f>
        <v>0</v>
      </c>
      <c r="H53" s="36"/>
    </row>
    <row r="54" spans="1:8" s="35" customFormat="1" x14ac:dyDescent="0.2">
      <c r="A54" s="37" t="s">
        <v>29</v>
      </c>
      <c r="B54" s="981" t="s">
        <v>56</v>
      </c>
      <c r="C54" s="982"/>
      <c r="D54" s="982"/>
      <c r="E54" s="115">
        <f>(12.5-1.4)</f>
        <v>11.1</v>
      </c>
      <c r="F54" s="116">
        <v>22</v>
      </c>
      <c r="G54" s="103">
        <f>ROUND((E54*F54),2)</f>
        <v>244.2</v>
      </c>
      <c r="H54" s="36"/>
    </row>
    <row r="55" spans="1:8" s="35" customFormat="1" x14ac:dyDescent="0.2">
      <c r="A55" s="37" t="s">
        <v>30</v>
      </c>
      <c r="B55" s="981" t="s">
        <v>58</v>
      </c>
      <c r="C55" s="982"/>
      <c r="D55" s="982"/>
      <c r="E55" s="115">
        <f>138.6</f>
        <v>138.6</v>
      </c>
      <c r="F55" s="116">
        <v>1</v>
      </c>
      <c r="G55" s="103">
        <f>ROUND((E55*F55),2)</f>
        <v>138.6</v>
      </c>
      <c r="H55" s="36"/>
    </row>
    <row r="56" spans="1:8" s="35" customFormat="1" x14ac:dyDescent="0.2">
      <c r="A56" s="37" t="s">
        <v>31</v>
      </c>
      <c r="B56" s="981" t="s">
        <v>255</v>
      </c>
      <c r="C56" s="982"/>
      <c r="D56" s="982"/>
      <c r="E56" s="115">
        <v>34.94</v>
      </c>
      <c r="F56" s="116">
        <v>1</v>
      </c>
      <c r="G56" s="103">
        <f>ROUND((E56*F56),2)</f>
        <v>34.94</v>
      </c>
      <c r="H56" s="36"/>
    </row>
    <row r="57" spans="1:8" s="35" customFormat="1" x14ac:dyDescent="0.2">
      <c r="A57" s="37" t="s">
        <v>32</v>
      </c>
      <c r="B57" s="981" t="s">
        <v>179</v>
      </c>
      <c r="C57" s="982"/>
      <c r="D57" s="982"/>
      <c r="E57" s="738">
        <f>ROUND((F18*30%)*5%,2)*0</f>
        <v>0</v>
      </c>
      <c r="F57" s="116">
        <v>1</v>
      </c>
      <c r="G57" s="103">
        <f>ROUND((E57*F57),2)</f>
        <v>0</v>
      </c>
      <c r="H57" s="36"/>
    </row>
    <row r="58" spans="1:8" s="35" customFormat="1" x14ac:dyDescent="0.2">
      <c r="A58" s="37" t="s">
        <v>34</v>
      </c>
      <c r="B58" s="981" t="s">
        <v>217</v>
      </c>
      <c r="C58" s="982"/>
      <c r="D58" s="982"/>
      <c r="E58" s="115">
        <f>ROUND(((F18/220)*8)*1.5,2)</f>
        <v>94.49</v>
      </c>
      <c r="F58" s="116">
        <v>1</v>
      </c>
      <c r="G58" s="103">
        <f>ROUND((E58*F58)/12,2)</f>
        <v>7.87</v>
      </c>
      <c r="H58" s="36"/>
    </row>
    <row r="59" spans="1:8" s="35" customFormat="1" x14ac:dyDescent="0.2">
      <c r="A59" s="37" t="s">
        <v>48</v>
      </c>
      <c r="B59" s="987" t="s">
        <v>180</v>
      </c>
      <c r="C59" s="988"/>
      <c r="D59" s="988"/>
      <c r="E59" s="115">
        <f>9.31</f>
        <v>9.31</v>
      </c>
      <c r="F59" s="117">
        <v>1</v>
      </c>
      <c r="G59" s="118">
        <f>ROUND((E59*F59),2)</f>
        <v>9.31</v>
      </c>
      <c r="H59" s="36"/>
    </row>
    <row r="60" spans="1:8" s="35" customFormat="1" x14ac:dyDescent="0.2">
      <c r="A60" s="37" t="s">
        <v>50</v>
      </c>
      <c r="B60" s="981" t="s">
        <v>152</v>
      </c>
      <c r="C60" s="982"/>
      <c r="D60" s="982"/>
      <c r="E60" s="115">
        <v>0</v>
      </c>
      <c r="F60" s="116">
        <v>1</v>
      </c>
      <c r="G60" s="119">
        <f>ROUND((E60*F60),2)</f>
        <v>0</v>
      </c>
      <c r="H60" s="36"/>
    </row>
    <row r="61" spans="1:8" s="35" customFormat="1" x14ac:dyDescent="0.2">
      <c r="A61" s="101" t="s">
        <v>151</v>
      </c>
      <c r="B61" s="981" t="s">
        <v>152</v>
      </c>
      <c r="C61" s="982"/>
      <c r="D61" s="982"/>
      <c r="E61" s="115">
        <v>0</v>
      </c>
      <c r="F61" s="116">
        <v>1</v>
      </c>
      <c r="G61" s="119">
        <f>ROUND((E61*F61),2)</f>
        <v>0</v>
      </c>
      <c r="H61" s="36"/>
    </row>
    <row r="62" spans="1:8" s="35" customFormat="1" x14ac:dyDescent="0.2">
      <c r="A62" s="37" t="s">
        <v>417</v>
      </c>
      <c r="B62" s="985" t="s">
        <v>152</v>
      </c>
      <c r="C62" s="986"/>
      <c r="D62" s="986"/>
      <c r="E62" s="120">
        <v>0</v>
      </c>
      <c r="F62" s="116">
        <v>1</v>
      </c>
      <c r="G62" s="103">
        <v>0</v>
      </c>
      <c r="H62" s="36"/>
    </row>
    <row r="63" spans="1:8" x14ac:dyDescent="0.2">
      <c r="A63" s="936" t="s">
        <v>60</v>
      </c>
      <c r="B63" s="937"/>
      <c r="C63" s="937"/>
      <c r="D63" s="937"/>
      <c r="E63" s="937"/>
      <c r="F63" s="938"/>
      <c r="G63" s="105">
        <f>SUM(G53:G62)</f>
        <v>434.92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556.64</v>
      </c>
      <c r="H65" s="4"/>
    </row>
    <row r="66" spans="1:8" x14ac:dyDescent="0.2">
      <c r="A66" s="121" t="s">
        <v>64</v>
      </c>
      <c r="B66" s="927" t="s">
        <v>128</v>
      </c>
      <c r="C66" s="928"/>
      <c r="D66" s="928"/>
      <c r="E66" s="928"/>
      <c r="F66" s="18">
        <f>F51</f>
        <v>0.33800000000000002</v>
      </c>
      <c r="G66" s="122">
        <f>G51</f>
        <v>688.17</v>
      </c>
      <c r="H66" s="4"/>
    </row>
    <row r="67" spans="1:8" x14ac:dyDescent="0.2">
      <c r="A67" s="121" t="s">
        <v>65</v>
      </c>
      <c r="B67" s="927" t="s">
        <v>66</v>
      </c>
      <c r="C67" s="928"/>
      <c r="D67" s="928"/>
      <c r="E67" s="928"/>
      <c r="F67" s="929"/>
      <c r="G67" s="122">
        <f>G63</f>
        <v>434.92</v>
      </c>
      <c r="H67" s="4"/>
    </row>
    <row r="68" spans="1:8" x14ac:dyDescent="0.2">
      <c r="A68" s="936" t="s">
        <v>67</v>
      </c>
      <c r="B68" s="937"/>
      <c r="C68" s="937"/>
      <c r="D68" s="937"/>
      <c r="E68" s="937"/>
      <c r="F68" s="938"/>
      <c r="G68" s="105">
        <f>SUM(G65:G67)</f>
        <v>1679.73</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EPI''s'!G17</f>
        <v>0</v>
      </c>
      <c r="F108" s="24">
        <v>1</v>
      </c>
      <c r="G108" s="103">
        <f>ROUND((E108*F108),2)</f>
        <v>0</v>
      </c>
      <c r="H108" s="4"/>
    </row>
    <row r="109" spans="1:8" s="35" customFormat="1" x14ac:dyDescent="0.2">
      <c r="A109" s="37" t="s">
        <v>29</v>
      </c>
      <c r="B109" s="967" t="str">
        <f>'Uniformes e EPI''s'!A19</f>
        <v>EPI's</v>
      </c>
      <c r="C109" s="920"/>
      <c r="D109" s="920"/>
      <c r="E109" s="45">
        <f>'Uniformes e EPI''s'!F39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0.03</v>
      </c>
      <c r="G124" s="107">
        <f ca="1">ROUND(G$139*F124,2)</f>
        <v>114.92</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0.03</v>
      </c>
      <c r="G127" s="129">
        <f ca="1">SUM(G122:G126)</f>
        <v>114.92</v>
      </c>
      <c r="H127" s="4">
        <f ca="1">ROUND(G139*F127,2)</f>
        <v>114.92</v>
      </c>
    </row>
    <row r="128" spans="1:8" x14ac:dyDescent="0.2">
      <c r="A128" s="936" t="s">
        <v>104</v>
      </c>
      <c r="B128" s="937"/>
      <c r="C128" s="937"/>
      <c r="D128" s="937"/>
      <c r="E128" s="937"/>
      <c r="F128" s="23">
        <f>SUM(F119,F120,F127)</f>
        <v>0.03</v>
      </c>
      <c r="G128" s="126">
        <f ca="1">SUM(G119:G126)</f>
        <v>114.92</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2035.99</v>
      </c>
      <c r="H130" s="4"/>
    </row>
    <row r="131" spans="1:8" x14ac:dyDescent="0.2">
      <c r="A131" s="121" t="s">
        <v>29</v>
      </c>
      <c r="B131" s="927" t="s">
        <v>107</v>
      </c>
      <c r="C131" s="928"/>
      <c r="D131" s="928"/>
      <c r="E131" s="928"/>
      <c r="F131" s="929"/>
      <c r="G131" s="122">
        <f>G68</f>
        <v>1679.73</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3715.72</v>
      </c>
      <c r="H135" s="4"/>
    </row>
    <row r="136" spans="1:8" x14ac:dyDescent="0.2">
      <c r="A136" s="121" t="s">
        <v>34</v>
      </c>
      <c r="B136" s="933" t="s">
        <v>112</v>
      </c>
      <c r="C136" s="934"/>
      <c r="D136" s="934"/>
      <c r="E136" s="934"/>
      <c r="F136" s="935"/>
      <c r="G136" s="122">
        <f ca="1">G128</f>
        <v>114.92</v>
      </c>
      <c r="H136" s="4"/>
    </row>
    <row r="137" spans="1:8" x14ac:dyDescent="0.2">
      <c r="A137" s="936" t="s">
        <v>113</v>
      </c>
      <c r="B137" s="937"/>
      <c r="C137" s="937"/>
      <c r="D137" s="937"/>
      <c r="E137" s="937"/>
      <c r="F137" s="938"/>
      <c r="G137" s="105">
        <f ca="1">SUM(G135:G136)</f>
        <v>3830.64</v>
      </c>
      <c r="H137" s="4">
        <f ca="1">SUM(G130:G136)-G135</f>
        <v>3830.64</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3830.64</v>
      </c>
      <c r="H139" s="4"/>
    </row>
    <row r="140" spans="1:8" x14ac:dyDescent="0.2">
      <c r="A140" s="766"/>
      <c r="B140" s="767" t="s">
        <v>115</v>
      </c>
      <c r="C140" s="767"/>
      <c r="D140" s="767"/>
      <c r="E140" s="767"/>
      <c r="F140" s="768">
        <f>F21</f>
        <v>1</v>
      </c>
      <c r="G140" s="769">
        <f ca="1">G139*F140</f>
        <v>3830.64</v>
      </c>
      <c r="H140" s="4"/>
    </row>
    <row r="141" spans="1:8" x14ac:dyDescent="0.2">
      <c r="F141" s="30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IM177"/>
  <sheetViews>
    <sheetView showGridLines="0" view="pageBreakPreview" topLeftCell="B37" zoomScaleNormal="100" zoomScaleSheetLayoutView="100" workbookViewId="0">
      <selection activeCell="G60" sqref="G60"/>
    </sheetView>
  </sheetViews>
  <sheetFormatPr defaultColWidth="11.42578125" defaultRowHeight="16.5" x14ac:dyDescent="0.3"/>
  <cols>
    <col min="1" max="1" width="3" style="57" bestFit="1" customWidth="1"/>
    <col min="2" max="2" width="44.28515625" style="57" customWidth="1"/>
    <col min="3" max="8" width="14.5703125" style="57" customWidth="1"/>
    <col min="9" max="9" width="14.140625" style="57" bestFit="1" customWidth="1"/>
    <col min="10" max="16384" width="11.42578125" style="57"/>
  </cols>
  <sheetData>
    <row r="1" spans="2:12" s="34" customFormat="1" ht="26.25" customHeight="1" x14ac:dyDescent="0.3">
      <c r="B1" s="1093" t="s">
        <v>474</v>
      </c>
      <c r="C1" s="1094"/>
      <c r="D1" s="1094"/>
      <c r="E1" s="1094"/>
      <c r="F1" s="1094"/>
      <c r="G1" s="1094"/>
      <c r="H1" s="1095"/>
      <c r="I1" s="57"/>
      <c r="L1" s="51"/>
    </row>
    <row r="2" spans="2:12" s="34" customFormat="1" ht="26.25" customHeight="1" thickBot="1" x14ac:dyDescent="0.35">
      <c r="B2" s="1096" t="s">
        <v>513</v>
      </c>
      <c r="C2" s="1097"/>
      <c r="D2" s="1097"/>
      <c r="E2" s="1097"/>
      <c r="F2" s="1097"/>
      <c r="G2" s="1097"/>
      <c r="H2" s="1098"/>
      <c r="I2" s="57"/>
      <c r="L2" s="51"/>
    </row>
    <row r="3" spans="2:12" s="34" customFormat="1" ht="38.25" customHeight="1" thickBot="1" x14ac:dyDescent="0.35">
      <c r="B3" s="1099" t="s">
        <v>392</v>
      </c>
      <c r="C3" s="1100"/>
      <c r="D3" s="1100"/>
      <c r="E3" s="1100"/>
      <c r="F3" s="1100"/>
      <c r="G3" s="1100"/>
      <c r="H3" s="1101"/>
      <c r="I3" s="57"/>
      <c r="J3" s="1073"/>
      <c r="K3" s="1073"/>
      <c r="L3" s="51"/>
    </row>
    <row r="4" spans="2:12" ht="15.95" customHeight="1" x14ac:dyDescent="0.3">
      <c r="B4" s="1088" t="s">
        <v>159</v>
      </c>
      <c r="C4" s="1089"/>
      <c r="D4" s="1089"/>
      <c r="E4" s="1089"/>
      <c r="F4" s="1089"/>
      <c r="G4" s="1089"/>
      <c r="H4" s="1090"/>
    </row>
    <row r="5" spans="2:12" ht="15.95" customHeight="1" thickBot="1" x14ac:dyDescent="0.35">
      <c r="B5" s="1088"/>
      <c r="C5" s="1089"/>
      <c r="D5" s="1089"/>
      <c r="E5" s="1089"/>
      <c r="F5" s="1089"/>
      <c r="G5" s="1089"/>
      <c r="H5" s="1090"/>
    </row>
    <row r="6" spans="2:12" ht="15.95" customHeight="1" thickBot="1" x14ac:dyDescent="0.35">
      <c r="B6" s="167" t="s">
        <v>174</v>
      </c>
      <c r="C6" s="1111" t="s">
        <v>480</v>
      </c>
      <c r="D6" s="1112"/>
      <c r="E6" s="1112"/>
      <c r="F6" s="1112"/>
      <c r="G6" s="1112"/>
      <c r="H6" s="1113"/>
    </row>
    <row r="7" spans="2:12" ht="48.6" customHeight="1" thickBot="1" x14ac:dyDescent="0.35">
      <c r="B7" s="146" t="s">
        <v>193</v>
      </c>
      <c r="C7" s="168" t="s">
        <v>173</v>
      </c>
      <c r="D7" s="168" t="s">
        <v>176</v>
      </c>
      <c r="E7" s="168" t="s">
        <v>244</v>
      </c>
      <c r="F7" s="169" t="s">
        <v>441</v>
      </c>
      <c r="G7" s="82"/>
      <c r="H7" s="72"/>
    </row>
    <row r="8" spans="2:12" ht="15.95" customHeight="1" x14ac:dyDescent="0.3">
      <c r="B8" s="150" t="s">
        <v>237</v>
      </c>
      <c r="C8" s="151">
        <v>253.34</v>
      </c>
      <c r="D8" s="152">
        <v>800</v>
      </c>
      <c r="E8" s="153">
        <f t="shared" ref="E8:E13" si="0">C8/D8</f>
        <v>0.32</v>
      </c>
      <c r="F8" s="1085">
        <f>ROUNDUP(SUM(E8:E12),0)</f>
        <v>2</v>
      </c>
      <c r="G8" s="1074"/>
      <c r="H8" s="72"/>
    </row>
    <row r="9" spans="2:12" ht="15.95" customHeight="1" x14ac:dyDescent="0.3">
      <c r="B9" s="170" t="s">
        <v>248</v>
      </c>
      <c r="C9" s="60">
        <v>11626.6</v>
      </c>
      <c r="D9" s="171">
        <v>9000</v>
      </c>
      <c r="E9" s="172">
        <f t="shared" si="0"/>
        <v>1.29</v>
      </c>
      <c r="F9" s="1086"/>
      <c r="G9" s="1074"/>
      <c r="H9" s="72"/>
    </row>
    <row r="10" spans="2:12" ht="15.95" customHeight="1" x14ac:dyDescent="0.3">
      <c r="B10" s="170" t="s">
        <v>411</v>
      </c>
      <c r="C10" s="173">
        <v>43.44</v>
      </c>
      <c r="D10" s="171">
        <v>300</v>
      </c>
      <c r="E10" s="172">
        <f t="shared" si="0"/>
        <v>0.14000000000000001</v>
      </c>
      <c r="F10" s="1086"/>
      <c r="G10" s="1074"/>
      <c r="H10" s="72"/>
    </row>
    <row r="11" spans="2:12" ht="15.95" customHeight="1" x14ac:dyDescent="0.3">
      <c r="B11" s="294" t="s">
        <v>239</v>
      </c>
      <c r="C11" s="210">
        <v>41.47</v>
      </c>
      <c r="D11" s="211">
        <v>200</v>
      </c>
      <c r="E11" s="172">
        <f t="shared" si="0"/>
        <v>0.21</v>
      </c>
      <c r="F11" s="1086"/>
      <c r="G11" s="1074"/>
      <c r="H11" s="72"/>
    </row>
    <row r="12" spans="2:12" ht="15.95" customHeight="1" thickBot="1" x14ac:dyDescent="0.35">
      <c r="B12" s="174" t="s">
        <v>408</v>
      </c>
      <c r="C12" s="175">
        <v>0</v>
      </c>
      <c r="D12" s="176">
        <v>200</v>
      </c>
      <c r="E12" s="295">
        <f t="shared" si="0"/>
        <v>0</v>
      </c>
      <c r="F12" s="1087"/>
      <c r="G12" s="1074"/>
      <c r="H12" s="72"/>
    </row>
    <row r="13" spans="2:12" ht="15.95" customHeight="1" thickBot="1" x14ac:dyDescent="0.35">
      <c r="B13" s="147" t="s">
        <v>238</v>
      </c>
      <c r="C13" s="60">
        <v>32279</v>
      </c>
      <c r="D13" s="148">
        <v>30000</v>
      </c>
      <c r="E13" s="149">
        <f t="shared" si="0"/>
        <v>1.08</v>
      </c>
      <c r="F13" s="303">
        <f>ROUND((E13),0)</f>
        <v>1</v>
      </c>
      <c r="G13" s="302"/>
      <c r="H13" s="72"/>
      <c r="I13" s="154"/>
    </row>
    <row r="14" spans="2:12" ht="15.95" customHeight="1" x14ac:dyDescent="0.3">
      <c r="B14" s="1077" t="s">
        <v>175</v>
      </c>
      <c r="C14" s="1078"/>
      <c r="D14" s="1078"/>
      <c r="E14" s="1078"/>
      <c r="F14" s="177">
        <f>'Agente de Higienização_CEMAR'!F22</f>
        <v>2</v>
      </c>
      <c r="G14" s="136"/>
      <c r="H14" s="72"/>
    </row>
    <row r="15" spans="2:12" ht="15.95" customHeight="1" x14ac:dyDescent="0.3">
      <c r="B15" s="1079" t="s">
        <v>216</v>
      </c>
      <c r="C15" s="1080"/>
      <c r="D15" s="1080"/>
      <c r="E15" s="1080"/>
      <c r="F15" s="178">
        <f>Jardineiro_CEMAR!F22</f>
        <v>1</v>
      </c>
      <c r="G15" s="137"/>
      <c r="H15" s="72"/>
    </row>
    <row r="16" spans="2:12" ht="15.95" customHeight="1" thickBot="1" x14ac:dyDescent="0.35">
      <c r="B16" s="1081" t="s">
        <v>449</v>
      </c>
      <c r="C16" s="1082"/>
      <c r="D16" s="1082"/>
      <c r="E16" s="1082"/>
      <c r="F16" s="161">
        <f>SUM(F14:F15)</f>
        <v>3</v>
      </c>
      <c r="G16" s="138"/>
      <c r="H16" s="72"/>
    </row>
    <row r="17" spans="2:8" ht="15.95" customHeight="1" thickBot="1" x14ac:dyDescent="0.35">
      <c r="B17" s="179"/>
      <c r="C17" s="59"/>
      <c r="D17" s="58"/>
      <c r="E17" s="59"/>
      <c r="F17" s="59"/>
      <c r="G17" s="59"/>
      <c r="H17" s="72"/>
    </row>
    <row r="18" spans="2:8" ht="29.45" customHeight="1" thickBot="1" x14ac:dyDescent="0.35">
      <c r="B18" s="83" t="s">
        <v>194</v>
      </c>
      <c r="C18" s="180" t="s">
        <v>178</v>
      </c>
      <c r="D18" s="82"/>
      <c r="E18" s="82"/>
      <c r="F18" s="59"/>
      <c r="G18" s="59"/>
      <c r="H18" s="72"/>
    </row>
    <row r="19" spans="2:8" ht="15.95" customHeight="1" x14ac:dyDescent="0.3">
      <c r="B19" s="181" t="str">
        <f>'Agente de Higienização_CEMAR'!F16</f>
        <v>Agente de Higienização</v>
      </c>
      <c r="C19" s="182">
        <f ca="1">'Agente de Higienização_CEMAR'!G140</f>
        <v>4813.79</v>
      </c>
      <c r="D19" s="81"/>
      <c r="E19" s="81"/>
      <c r="F19" s="59"/>
      <c r="G19" s="59"/>
      <c r="H19" s="74"/>
    </row>
    <row r="20" spans="2:8" ht="15.95" customHeight="1" x14ac:dyDescent="0.3">
      <c r="B20" s="181" t="str">
        <f>Jardineiro_CEMAR!F16</f>
        <v>Jardineiro</v>
      </c>
      <c r="C20" s="182">
        <f ca="1">Jardineiro_CEMAR!G140</f>
        <v>3830.64</v>
      </c>
      <c r="D20" s="81"/>
      <c r="E20" s="81"/>
      <c r="F20" s="59"/>
      <c r="G20" s="59"/>
      <c r="H20" s="74"/>
    </row>
    <row r="21" spans="2:8" ht="15.95" customHeight="1" thickBot="1" x14ac:dyDescent="0.35">
      <c r="B21" s="179"/>
      <c r="C21" s="59"/>
      <c r="D21" s="58"/>
      <c r="E21" s="59"/>
      <c r="F21" s="59"/>
      <c r="G21" s="59"/>
      <c r="H21" s="72"/>
    </row>
    <row r="22" spans="2:8" ht="28.5" customHeight="1" thickBot="1" x14ac:dyDescent="0.35">
      <c r="B22" s="183" t="s">
        <v>165</v>
      </c>
      <c r="C22" s="184" t="s">
        <v>177</v>
      </c>
      <c r="D22" s="184" t="s">
        <v>172</v>
      </c>
      <c r="E22" s="184" t="s">
        <v>171</v>
      </c>
      <c r="F22" s="59"/>
      <c r="G22" s="59"/>
      <c r="H22" s="72"/>
    </row>
    <row r="23" spans="2:8" s="61" customFormat="1" ht="15.95" customHeight="1" x14ac:dyDescent="0.3">
      <c r="B23" s="185" t="s">
        <v>163</v>
      </c>
      <c r="C23" s="186"/>
      <c r="D23" s="186"/>
      <c r="E23" s="187"/>
      <c r="F23" s="59"/>
      <c r="G23" s="59"/>
      <c r="H23" s="72"/>
    </row>
    <row r="24" spans="2:8" s="61" customFormat="1" ht="15.95" customHeight="1" x14ac:dyDescent="0.3">
      <c r="B24" s="181" t="str">
        <f>B19</f>
        <v>Agente de Higienização</v>
      </c>
      <c r="C24" s="469">
        <f>ROUND(1/(21*D8),9)</f>
        <v>5.9524000000000001E-5</v>
      </c>
      <c r="D24" s="62">
        <f ca="1">C19</f>
        <v>4813.79</v>
      </c>
      <c r="E24" s="78">
        <f ca="1">ROUND(D24*C24,2)</f>
        <v>0.28999999999999998</v>
      </c>
      <c r="F24" s="59"/>
      <c r="G24" s="59"/>
      <c r="H24" s="72"/>
    </row>
    <row r="25" spans="2:8" s="61" customFormat="1" ht="15.95" customHeight="1" thickBot="1" x14ac:dyDescent="0.35">
      <c r="B25" s="188"/>
      <c r="C25" s="1083" t="s">
        <v>170</v>
      </c>
      <c r="D25" s="1084"/>
      <c r="E25" s="189">
        <f ca="1">SUM(E24:E24)</f>
        <v>0.28999999999999998</v>
      </c>
      <c r="F25" s="59"/>
      <c r="G25" s="59"/>
      <c r="H25" s="72"/>
    </row>
    <row r="26" spans="2:8" s="61" customFormat="1" ht="30.75" customHeight="1" thickBot="1" x14ac:dyDescent="0.35">
      <c r="B26" s="183" t="s">
        <v>165</v>
      </c>
      <c r="C26" s="184" t="s">
        <v>177</v>
      </c>
      <c r="D26" s="184" t="s">
        <v>172</v>
      </c>
      <c r="E26" s="184" t="s">
        <v>171</v>
      </c>
      <c r="F26" s="59"/>
      <c r="G26" s="59"/>
      <c r="H26" s="72"/>
    </row>
    <row r="27" spans="2:8" s="61" customFormat="1" ht="15.95" customHeight="1" x14ac:dyDescent="0.3">
      <c r="B27" s="185" t="s">
        <v>161</v>
      </c>
      <c r="C27" s="186"/>
      <c r="D27" s="186"/>
      <c r="E27" s="187"/>
      <c r="F27" s="59"/>
      <c r="G27" s="59"/>
      <c r="H27" s="72"/>
    </row>
    <row r="28" spans="2:8" s="61" customFormat="1" ht="15.95" customHeight="1" x14ac:dyDescent="0.3">
      <c r="B28" s="181" t="str">
        <f>B19</f>
        <v>Agente de Higienização</v>
      </c>
      <c r="C28" s="469">
        <f>ROUND(1/(D$9),9)</f>
        <v>1.11111E-4</v>
      </c>
      <c r="D28" s="62">
        <f ca="1">C19</f>
        <v>4813.79</v>
      </c>
      <c r="E28" s="78">
        <f ca="1">ROUND(D28*C28,2)</f>
        <v>0.53</v>
      </c>
      <c r="F28" s="59"/>
      <c r="G28" s="59"/>
      <c r="H28" s="72"/>
    </row>
    <row r="29" spans="2:8" s="61" customFormat="1" ht="15.95" customHeight="1" thickBot="1" x14ac:dyDescent="0.35">
      <c r="B29" s="310"/>
      <c r="C29" s="1114" t="s">
        <v>169</v>
      </c>
      <c r="D29" s="1115"/>
      <c r="E29" s="311">
        <f ca="1">SUM(E28:E28)</f>
        <v>0.53</v>
      </c>
      <c r="F29" s="59"/>
      <c r="G29" s="59"/>
      <c r="H29" s="72"/>
    </row>
    <row r="30" spans="2:8" s="61" customFormat="1" ht="15.95" customHeight="1" x14ac:dyDescent="0.3">
      <c r="B30" s="144" t="s">
        <v>240</v>
      </c>
      <c r="C30" s="65"/>
      <c r="D30" s="65"/>
      <c r="E30" s="309"/>
      <c r="F30" s="59"/>
      <c r="G30" s="59"/>
      <c r="H30" s="72"/>
    </row>
    <row r="31" spans="2:8" s="61" customFormat="1" ht="15.95" customHeight="1" x14ac:dyDescent="0.3">
      <c r="B31" s="181" t="str">
        <f>B19</f>
        <v>Agente de Higienização</v>
      </c>
      <c r="C31" s="190">
        <f>ROUND(1/(21*D11),9)</f>
        <v>2.3809499999999999E-4</v>
      </c>
      <c r="D31" s="191">
        <f ca="1">C19</f>
        <v>4813.79</v>
      </c>
      <c r="E31" s="63">
        <f ca="1">ROUND(D31*C31,2)</f>
        <v>1.1499999999999999</v>
      </c>
      <c r="F31" s="59"/>
      <c r="G31" s="59"/>
      <c r="H31" s="72"/>
    </row>
    <row r="32" spans="2:8" s="64" customFormat="1" ht="15.95" customHeight="1" thickBot="1" x14ac:dyDescent="0.35">
      <c r="B32" s="188"/>
      <c r="C32" s="1083" t="s">
        <v>241</v>
      </c>
      <c r="D32" s="1084"/>
      <c r="E32" s="192">
        <f ca="1">SUM(E31:E31)</f>
        <v>1.1499999999999999</v>
      </c>
      <c r="F32" s="59"/>
      <c r="G32" s="59"/>
      <c r="H32" s="72"/>
    </row>
    <row r="33" spans="1:8" s="64" customFormat="1" ht="15.95" customHeight="1" x14ac:dyDescent="0.3">
      <c r="B33" s="144" t="s">
        <v>409</v>
      </c>
      <c r="C33" s="65"/>
      <c r="D33" s="65"/>
      <c r="E33" s="187"/>
      <c r="F33" s="59"/>
      <c r="G33" s="59"/>
      <c r="H33" s="72"/>
    </row>
    <row r="34" spans="1:8" s="64" customFormat="1" ht="15.95" customHeight="1" x14ac:dyDescent="0.3">
      <c r="B34" s="392" t="str">
        <f>B19</f>
        <v>Agente de Higienização</v>
      </c>
      <c r="C34" s="190">
        <f>ROUND(1/(21*D12),9)</f>
        <v>2.3809499999999999E-4</v>
      </c>
      <c r="D34" s="191">
        <f ca="1">C19*0</f>
        <v>0</v>
      </c>
      <c r="E34" s="63">
        <f ca="1">ROUND(D34*C34,2)</f>
        <v>0</v>
      </c>
      <c r="F34" s="59"/>
      <c r="G34" s="59"/>
      <c r="H34" s="72"/>
    </row>
    <row r="35" spans="1:8" s="64" customFormat="1" ht="15.95" customHeight="1" thickBot="1" x14ac:dyDescent="0.35">
      <c r="B35" s="324"/>
      <c r="C35" s="1116" t="s">
        <v>241</v>
      </c>
      <c r="D35" s="1117"/>
      <c r="E35" s="325">
        <f ca="1">SUM(E34:E34)</f>
        <v>0</v>
      </c>
      <c r="F35" s="59"/>
      <c r="G35" s="59"/>
      <c r="H35" s="72"/>
    </row>
    <row r="36" spans="1:8" s="61" customFormat="1" ht="15.95" customHeight="1" thickBot="1" x14ac:dyDescent="0.35">
      <c r="B36" s="193"/>
      <c r="C36" s="59"/>
      <c r="D36" s="58"/>
      <c r="E36" s="59"/>
      <c r="F36" s="58"/>
      <c r="G36" s="59"/>
      <c r="H36" s="72"/>
    </row>
    <row r="37" spans="1:8" s="61" customFormat="1" ht="15.95" customHeight="1" thickBot="1" x14ac:dyDescent="0.35">
      <c r="B37" s="1075" t="s">
        <v>165</v>
      </c>
      <c r="C37" s="1076" t="s">
        <v>177</v>
      </c>
      <c r="D37" s="1076" t="s">
        <v>245</v>
      </c>
      <c r="E37" s="1076" t="s">
        <v>246</v>
      </c>
      <c r="F37" s="1076" t="s">
        <v>168</v>
      </c>
      <c r="G37" s="1076" t="s">
        <v>167</v>
      </c>
      <c r="H37" s="1104" t="s">
        <v>166</v>
      </c>
    </row>
    <row r="38" spans="1:8" s="61" customFormat="1" ht="36" customHeight="1" thickBot="1" x14ac:dyDescent="0.35">
      <c r="B38" s="1075"/>
      <c r="C38" s="1076"/>
      <c r="D38" s="1076"/>
      <c r="E38" s="1076"/>
      <c r="F38" s="1076"/>
      <c r="G38" s="1076"/>
      <c r="H38" s="1104"/>
    </row>
    <row r="39" spans="1:8" s="61" customFormat="1" ht="15.95" customHeight="1" x14ac:dyDescent="0.3">
      <c r="B39" s="194" t="s">
        <v>311</v>
      </c>
      <c r="C39" s="195"/>
      <c r="D39" s="195"/>
      <c r="E39" s="195"/>
      <c r="F39" s="195"/>
      <c r="G39" s="195"/>
      <c r="H39" s="196"/>
    </row>
    <row r="40" spans="1:8" s="61" customFormat="1" ht="15.95" customHeight="1" x14ac:dyDescent="0.3">
      <c r="B40" s="75" t="str">
        <f>B19</f>
        <v>Agente de Higienização</v>
      </c>
      <c r="C40" s="190">
        <f>ROUND(1/D10,9)</f>
        <v>3.333333E-3</v>
      </c>
      <c r="D40" s="197">
        <f>ROUNDUP(((C10/D10)*8),0)</f>
        <v>2</v>
      </c>
      <c r="E40" s="198">
        <f>ROUND(1/188.76,9)</f>
        <v>5.2977329999999998E-3</v>
      </c>
      <c r="F40" s="199">
        <f>ROUND(((C40)*(E40)*(D40)),9)</f>
        <v>3.5318000000000003E-5</v>
      </c>
      <c r="G40" s="200">
        <f ca="1">C19</f>
        <v>4813.79</v>
      </c>
      <c r="H40" s="201">
        <f ca="1">ROUND(G40*F40,2)</f>
        <v>0.17</v>
      </c>
    </row>
    <row r="41" spans="1:8" s="61" customFormat="1" ht="15.95" customHeight="1" thickBot="1" x14ac:dyDescent="0.35">
      <c r="B41" s="327"/>
      <c r="C41" s="328"/>
      <c r="D41" s="328"/>
      <c r="E41" s="328"/>
      <c r="F41" s="328"/>
      <c r="G41" s="329" t="s">
        <v>312</v>
      </c>
      <c r="H41" s="330">
        <f ca="1">ROUND(SUM(H40:H40),2)</f>
        <v>0.17</v>
      </c>
    </row>
    <row r="42" spans="1:8" s="67" customFormat="1" ht="15.95" customHeight="1" thickBot="1" x14ac:dyDescent="0.35">
      <c r="A42" s="142"/>
      <c r="B42" s="206"/>
      <c r="C42" s="140"/>
      <c r="D42" s="140"/>
      <c r="E42" s="140"/>
      <c r="F42" s="140"/>
      <c r="G42" s="141"/>
      <c r="H42" s="143"/>
    </row>
    <row r="43" spans="1:8" s="61" customFormat="1" ht="39" thickBot="1" x14ac:dyDescent="0.35">
      <c r="B43" s="183" t="s">
        <v>165</v>
      </c>
      <c r="C43" s="184" t="s">
        <v>177</v>
      </c>
      <c r="D43" s="184" t="s">
        <v>172</v>
      </c>
      <c r="E43" s="184" t="s">
        <v>171</v>
      </c>
      <c r="F43" s="59"/>
      <c r="G43" s="59"/>
      <c r="H43" s="72"/>
    </row>
    <row r="44" spans="1:8" s="61" customFormat="1" ht="15.95" customHeight="1" x14ac:dyDescent="0.3">
      <c r="B44" s="185" t="s">
        <v>242</v>
      </c>
      <c r="C44" s="186"/>
      <c r="D44" s="186"/>
      <c r="E44" s="187"/>
      <c r="F44" s="59"/>
      <c r="G44" s="59"/>
      <c r="H44" s="72"/>
    </row>
    <row r="45" spans="1:8" s="64" customFormat="1" ht="15.95" customHeight="1" x14ac:dyDescent="0.3">
      <c r="B45" s="393" t="str">
        <f>B20</f>
        <v>Jardineiro</v>
      </c>
      <c r="C45" s="469">
        <f>ROUND(1/(D$13),9)</f>
        <v>3.3333000000000001E-5</v>
      </c>
      <c r="D45" s="394">
        <f ca="1">C20</f>
        <v>3830.64</v>
      </c>
      <c r="E45" s="395">
        <f ca="1">ROUND(D45*C45,2)</f>
        <v>0.13</v>
      </c>
      <c r="F45" s="59"/>
      <c r="G45" s="59"/>
      <c r="H45" s="72"/>
    </row>
    <row r="46" spans="1:8" s="61" customFormat="1" ht="15.95" customHeight="1" thickBot="1" x14ac:dyDescent="0.35">
      <c r="A46" s="66"/>
      <c r="B46" s="324"/>
      <c r="C46" s="1118" t="s">
        <v>247</v>
      </c>
      <c r="D46" s="1119"/>
      <c r="E46" s="390">
        <f ca="1">SUM(E45:E45)</f>
        <v>0.13</v>
      </c>
      <c r="F46" s="140"/>
      <c r="G46" s="141"/>
      <c r="H46" s="139"/>
    </row>
    <row r="47" spans="1:8" s="61" customFormat="1" ht="15.95" customHeight="1" thickBot="1" x14ac:dyDescent="0.35">
      <c r="A47" s="66"/>
      <c r="B47" s="179"/>
      <c r="C47" s="59"/>
      <c r="D47" s="59"/>
      <c r="E47" s="59"/>
      <c r="F47" s="59"/>
      <c r="G47" s="59"/>
      <c r="H47" s="72"/>
    </row>
    <row r="48" spans="1:8" s="61" customFormat="1" ht="15.95" customHeight="1" thickBot="1" x14ac:dyDescent="0.35">
      <c r="B48" s="1105" t="s">
        <v>165</v>
      </c>
      <c r="C48" s="1102" t="s">
        <v>164</v>
      </c>
      <c r="D48" s="1107" t="s">
        <v>249</v>
      </c>
      <c r="E48" s="1102" t="s">
        <v>250</v>
      </c>
      <c r="F48" s="1102" t="s">
        <v>448</v>
      </c>
      <c r="G48" s="1109" t="s">
        <v>439</v>
      </c>
      <c r="H48" s="72"/>
    </row>
    <row r="49" spans="1:247" s="61" customFormat="1" ht="29.45" customHeight="1" thickBot="1" x14ac:dyDescent="0.35">
      <c r="B49" s="1106"/>
      <c r="C49" s="1103"/>
      <c r="D49" s="1108"/>
      <c r="E49" s="1103"/>
      <c r="F49" s="1103"/>
      <c r="G49" s="1110"/>
      <c r="H49" s="72"/>
      <c r="IF49" s="67"/>
      <c r="IG49" s="67"/>
      <c r="IH49" s="67"/>
      <c r="II49" s="67"/>
      <c r="IJ49" s="67"/>
      <c r="IK49" s="67"/>
      <c r="IL49" s="67"/>
      <c r="IM49" s="67"/>
    </row>
    <row r="50" spans="1:247" s="61" customFormat="1" ht="15.95" customHeight="1" x14ac:dyDescent="0.3">
      <c r="B50" s="144" t="s">
        <v>163</v>
      </c>
      <c r="C50" s="68">
        <f ca="1">E25</f>
        <v>0.28999999999999998</v>
      </c>
      <c r="D50" s="69">
        <f t="shared" ref="D50:D55" si="1">C8</f>
        <v>253.34</v>
      </c>
      <c r="E50" s="207">
        <f t="shared" ref="E50:E55" ca="1" si="2">ROUND(D50*C50,2)</f>
        <v>73.47</v>
      </c>
      <c r="F50" s="69">
        <f>D50*12</f>
        <v>3040.08</v>
      </c>
      <c r="G50" s="209">
        <f ca="1">E50*12</f>
        <v>881.64</v>
      </c>
      <c r="H50" s="73"/>
      <c r="IE50" s="67"/>
      <c r="IF50" s="67"/>
      <c r="IG50" s="67"/>
      <c r="IH50" s="67"/>
      <c r="II50" s="67"/>
      <c r="IJ50" s="67"/>
      <c r="IK50" s="67"/>
      <c r="IL50" s="67"/>
    </row>
    <row r="51" spans="1:247" s="61" customFormat="1" ht="15.95" customHeight="1" x14ac:dyDescent="0.3">
      <c r="B51" s="166" t="s">
        <v>161</v>
      </c>
      <c r="C51" s="68">
        <f ca="1">E29</f>
        <v>0.53</v>
      </c>
      <c r="D51" s="69">
        <f t="shared" si="1"/>
        <v>11626.6</v>
      </c>
      <c r="E51" s="207">
        <f t="shared" ca="1" si="2"/>
        <v>6162.1</v>
      </c>
      <c r="F51" s="69">
        <f t="shared" ref="F51:G55" si="3">D51*12</f>
        <v>139519.20000000001</v>
      </c>
      <c r="G51" s="209">
        <f t="shared" ca="1" si="3"/>
        <v>73945.2</v>
      </c>
      <c r="H51" s="73"/>
      <c r="IE51" s="67"/>
      <c r="IF51" s="67"/>
      <c r="IG51" s="67"/>
      <c r="IH51" s="67"/>
      <c r="II51" s="67"/>
      <c r="IJ51" s="67"/>
      <c r="IK51" s="67"/>
      <c r="IL51" s="67"/>
    </row>
    <row r="52" spans="1:247" s="61" customFormat="1" ht="15.95" customHeight="1" x14ac:dyDescent="0.3">
      <c r="B52" s="166" t="s">
        <v>410</v>
      </c>
      <c r="C52" s="68">
        <f ca="1">H41</f>
        <v>0.17</v>
      </c>
      <c r="D52" s="69">
        <f t="shared" si="1"/>
        <v>43.44</v>
      </c>
      <c r="E52" s="207">
        <f t="shared" ca="1" si="2"/>
        <v>7.38</v>
      </c>
      <c r="F52" s="69">
        <f t="shared" si="3"/>
        <v>521.28</v>
      </c>
      <c r="G52" s="209">
        <f t="shared" ca="1" si="3"/>
        <v>88.56</v>
      </c>
      <c r="H52" s="73"/>
    </row>
    <row r="53" spans="1:247" s="61" customFormat="1" ht="15.95" customHeight="1" x14ac:dyDescent="0.3">
      <c r="B53" s="166" t="s">
        <v>240</v>
      </c>
      <c r="C53" s="68">
        <f ca="1">E32</f>
        <v>1.1499999999999999</v>
      </c>
      <c r="D53" s="69">
        <f t="shared" si="1"/>
        <v>41.47</v>
      </c>
      <c r="E53" s="207">
        <f t="shared" ca="1" si="2"/>
        <v>47.69</v>
      </c>
      <c r="F53" s="69">
        <f t="shared" si="3"/>
        <v>497.64</v>
      </c>
      <c r="G53" s="209">
        <f t="shared" ca="1" si="3"/>
        <v>572.28</v>
      </c>
      <c r="H53" s="73"/>
    </row>
    <row r="54" spans="1:247" s="548" customFormat="1" ht="15.95" customHeight="1" x14ac:dyDescent="0.3">
      <c r="B54" s="549" t="s">
        <v>409</v>
      </c>
      <c r="C54" s="550">
        <f ca="1">E35</f>
        <v>0</v>
      </c>
      <c r="D54" s="551">
        <f t="shared" si="1"/>
        <v>0</v>
      </c>
      <c r="E54" s="552">
        <f t="shared" ca="1" si="2"/>
        <v>0</v>
      </c>
      <c r="F54" s="551">
        <f t="shared" si="3"/>
        <v>0</v>
      </c>
      <c r="G54" s="553">
        <f t="shared" ca="1" si="3"/>
        <v>0</v>
      </c>
      <c r="H54" s="554"/>
    </row>
    <row r="55" spans="1:247" s="61" customFormat="1" ht="15.95" customHeight="1" x14ac:dyDescent="0.3">
      <c r="B55" s="166" t="s">
        <v>243</v>
      </c>
      <c r="C55" s="68">
        <f ca="1">E46</f>
        <v>0.13</v>
      </c>
      <c r="D55" s="69">
        <f t="shared" si="1"/>
        <v>32279</v>
      </c>
      <c r="E55" s="207">
        <f t="shared" ca="1" si="2"/>
        <v>4196.2700000000004</v>
      </c>
      <c r="F55" s="69">
        <f t="shared" si="3"/>
        <v>387348</v>
      </c>
      <c r="G55" s="209">
        <f t="shared" ca="1" si="3"/>
        <v>50355.24</v>
      </c>
      <c r="H55" s="73"/>
      <c r="I55" s="158"/>
    </row>
    <row r="56" spans="1:247" s="61" customFormat="1" ht="15.95" customHeight="1" x14ac:dyDescent="0.3">
      <c r="A56" s="70" t="s">
        <v>162</v>
      </c>
      <c r="B56" s="1122" t="s">
        <v>413</v>
      </c>
      <c r="C56" s="1123"/>
      <c r="D56" s="1123"/>
      <c r="E56" s="1123"/>
      <c r="F56" s="1123"/>
      <c r="G56" s="385">
        <f ca="1">SUM(E50:E55)</f>
        <v>10486.91</v>
      </c>
      <c r="H56" s="72"/>
    </row>
    <row r="57" spans="1:247" s="61" customFormat="1" ht="15.95" customHeight="1" thickBot="1" x14ac:dyDescent="0.35">
      <c r="A57" s="64"/>
      <c r="B57" s="1120" t="s">
        <v>450</v>
      </c>
      <c r="C57" s="1121"/>
      <c r="D57" s="1121"/>
      <c r="E57" s="1121"/>
      <c r="F57" s="1121"/>
      <c r="G57" s="383">
        <f ca="1">G56*12</f>
        <v>125842.92</v>
      </c>
      <c r="H57" s="72"/>
      <c r="I57" s="159"/>
      <c r="J57" s="160"/>
    </row>
    <row r="58" spans="1:247" s="61" customFormat="1" ht="15.95" customHeight="1" x14ac:dyDescent="0.3">
      <c r="A58" s="64"/>
      <c r="B58" s="1056" t="s">
        <v>430</v>
      </c>
      <c r="C58" s="1057"/>
      <c r="D58" s="1057"/>
      <c r="E58" s="1057"/>
      <c r="F58" s="1057"/>
      <c r="G58" s="368">
        <f>'Insumos Diversos'!F136</f>
        <v>0</v>
      </c>
      <c r="H58" s="72"/>
      <c r="I58" s="159"/>
      <c r="J58" s="160"/>
    </row>
    <row r="59" spans="1:247" s="61" customFormat="1" ht="15.95" customHeight="1" thickBot="1" x14ac:dyDescent="0.35">
      <c r="A59" s="64"/>
      <c r="B59" s="1052" t="s">
        <v>437</v>
      </c>
      <c r="C59" s="1053"/>
      <c r="D59" s="1053"/>
      <c r="E59" s="1053"/>
      <c r="F59" s="1053"/>
      <c r="G59" s="369">
        <f>G58*12</f>
        <v>0</v>
      </c>
      <c r="H59" s="72"/>
      <c r="I59" s="159"/>
      <c r="J59" s="160"/>
    </row>
    <row r="60" spans="1:247" s="61" customFormat="1" ht="15.95" customHeight="1" x14ac:dyDescent="0.3">
      <c r="A60" s="64"/>
      <c r="B60" s="1054" t="s">
        <v>434</v>
      </c>
      <c r="C60" s="1055"/>
      <c r="D60" s="1055"/>
      <c r="E60" s="1055"/>
      <c r="F60" s="1055"/>
      <c r="G60" s="386">
        <f ca="1">SUM(G56,G58)</f>
        <v>10486.91</v>
      </c>
      <c r="H60" s="72"/>
      <c r="I60" s="159"/>
      <c r="J60" s="160"/>
    </row>
    <row r="61" spans="1:247" s="61" customFormat="1" ht="15.95" customHeight="1" thickBot="1" x14ac:dyDescent="0.35">
      <c r="A61" s="64"/>
      <c r="B61" s="1050" t="s">
        <v>435</v>
      </c>
      <c r="C61" s="1051"/>
      <c r="D61" s="1051"/>
      <c r="E61" s="1051"/>
      <c r="F61" s="1051"/>
      <c r="G61" s="382">
        <f ca="1">G60*12</f>
        <v>125842.92</v>
      </c>
      <c r="H61" s="72"/>
      <c r="I61" s="159"/>
      <c r="J61" s="160"/>
    </row>
    <row r="62" spans="1:247" s="61" customFormat="1" ht="15.95" customHeight="1" x14ac:dyDescent="0.3">
      <c r="B62" s="208" t="s">
        <v>160</v>
      </c>
      <c r="C62" s="59"/>
      <c r="D62" s="59"/>
      <c r="E62" s="59"/>
      <c r="F62" s="59"/>
      <c r="G62" s="59"/>
      <c r="H62" s="72"/>
    </row>
    <row r="63" spans="1:247" s="61" customFormat="1" ht="15.95" customHeight="1" x14ac:dyDescent="0.3">
      <c r="B63" s="1061" t="s">
        <v>253</v>
      </c>
      <c r="C63" s="1062"/>
      <c r="D63" s="1062"/>
      <c r="E63" s="1062"/>
      <c r="F63" s="1062"/>
      <c r="G63" s="1062"/>
      <c r="H63" s="1063"/>
    </row>
    <row r="64" spans="1:247" s="61" customFormat="1" ht="22.5" customHeight="1" x14ac:dyDescent="0.3">
      <c r="B64" s="1064" t="s">
        <v>412</v>
      </c>
      <c r="C64" s="1065"/>
      <c r="D64" s="1065"/>
      <c r="E64" s="1065"/>
      <c r="F64" s="1065"/>
      <c r="G64" s="1065"/>
      <c r="H64" s="1066"/>
    </row>
    <row r="65" spans="1:8" s="61" customFormat="1" ht="30.75" customHeight="1" x14ac:dyDescent="0.3">
      <c r="B65" s="1067" t="s">
        <v>317</v>
      </c>
      <c r="C65" s="1068"/>
      <c r="D65" s="1068"/>
      <c r="E65" s="1068"/>
      <c r="F65" s="1068"/>
      <c r="G65" s="1068"/>
      <c r="H65" s="1069"/>
    </row>
    <row r="66" spans="1:8" s="61" customFormat="1" ht="15.95" customHeight="1" x14ac:dyDescent="0.3">
      <c r="B66" s="1070" t="s">
        <v>192</v>
      </c>
      <c r="C66" s="1071"/>
      <c r="D66" s="1071"/>
      <c r="E66" s="1071"/>
      <c r="F66" s="1071"/>
      <c r="G66" s="1071"/>
      <c r="H66" s="1072"/>
    </row>
    <row r="67" spans="1:8" s="61" customFormat="1" ht="35.25" customHeight="1" thickBot="1" x14ac:dyDescent="0.35">
      <c r="B67" s="1058" t="s">
        <v>213</v>
      </c>
      <c r="C67" s="1059"/>
      <c r="D67" s="1059"/>
      <c r="E67" s="1059"/>
      <c r="F67" s="1059"/>
      <c r="G67" s="1059"/>
      <c r="H67" s="1060"/>
    </row>
    <row r="68" spans="1:8" s="61" customFormat="1" ht="15.95" customHeight="1" x14ac:dyDescent="0.3">
      <c r="A68" s="71"/>
      <c r="B68" s="304"/>
      <c r="C68" s="304"/>
      <c r="D68" s="304"/>
      <c r="E68" s="304"/>
      <c r="F68" s="304"/>
      <c r="G68" s="304"/>
      <c r="H68" s="305"/>
    </row>
    <row r="69" spans="1:8" s="61" customFormat="1" ht="15.95" customHeight="1" x14ac:dyDescent="0.3">
      <c r="A69" s="71"/>
    </row>
    <row r="70" spans="1:8" s="61" customFormat="1" ht="15.95" customHeight="1" x14ac:dyDescent="0.3">
      <c r="A70" s="71"/>
    </row>
    <row r="71" spans="1:8" s="61" customFormat="1" ht="15.95" customHeight="1" x14ac:dyDescent="0.3">
      <c r="A71" s="71"/>
    </row>
    <row r="72" spans="1:8" s="61" customFormat="1" ht="15.95" customHeight="1" x14ac:dyDescent="0.3">
      <c r="A72" s="71"/>
    </row>
    <row r="73" spans="1:8" s="61" customFormat="1" ht="15.95" customHeight="1" x14ac:dyDescent="0.3">
      <c r="A73" s="71"/>
    </row>
    <row r="74" spans="1:8" s="61" customFormat="1" ht="15.95" customHeight="1" x14ac:dyDescent="0.3">
      <c r="A74" s="71"/>
    </row>
    <row r="75" spans="1:8" s="61" customFormat="1" ht="15.95" customHeight="1" x14ac:dyDescent="0.3">
      <c r="A75" s="71"/>
    </row>
    <row r="76" spans="1:8" s="61" customFormat="1" ht="15.95" customHeight="1" x14ac:dyDescent="0.3">
      <c r="A76" s="71"/>
      <c r="B76" s="57"/>
      <c r="C76" s="57"/>
      <c r="D76" s="57"/>
      <c r="E76" s="57"/>
      <c r="F76" s="57"/>
    </row>
    <row r="77" spans="1:8" s="61" customFormat="1" ht="15.95" customHeight="1" x14ac:dyDescent="0.3">
      <c r="B77" s="57"/>
      <c r="C77" s="57"/>
      <c r="D77" s="57"/>
      <c r="E77" s="57"/>
      <c r="F77" s="57"/>
      <c r="G77" s="57"/>
    </row>
    <row r="78" spans="1:8" s="61" customFormat="1" ht="15.95" customHeight="1" x14ac:dyDescent="0.3">
      <c r="B78" s="57"/>
      <c r="C78" s="57"/>
      <c r="D78" s="57"/>
      <c r="E78" s="57"/>
      <c r="F78" s="57"/>
      <c r="G78" s="57"/>
      <c r="H78" s="57"/>
    </row>
    <row r="79" spans="1:8" s="61" customFormat="1" ht="15.95" customHeight="1" x14ac:dyDescent="0.3">
      <c r="A79" s="71"/>
      <c r="B79" s="57"/>
      <c r="C79" s="57"/>
      <c r="D79" s="57"/>
      <c r="E79" s="57"/>
      <c r="F79" s="57"/>
      <c r="G79" s="57"/>
      <c r="H79" s="57"/>
    </row>
    <row r="80" spans="1:8" s="61" customFormat="1" ht="15.95" customHeight="1" x14ac:dyDescent="0.3">
      <c r="A80" s="71"/>
      <c r="B80" s="57"/>
      <c r="C80" s="57"/>
      <c r="D80" s="57"/>
      <c r="E80" s="57"/>
      <c r="F80" s="57"/>
      <c r="G80" s="57"/>
      <c r="H80" s="57"/>
    </row>
    <row r="81" spans="2:8" s="61" customFormat="1" ht="15.95" customHeight="1" x14ac:dyDescent="0.3">
      <c r="B81" s="57"/>
      <c r="C81" s="57"/>
      <c r="D81" s="57"/>
      <c r="E81" s="57"/>
      <c r="F81" s="57"/>
      <c r="G81" s="57"/>
      <c r="H81" s="57"/>
    </row>
    <row r="85" spans="2:8" ht="13.35" customHeight="1" x14ac:dyDescent="0.3"/>
    <row r="105" ht="12.95" customHeight="1" x14ac:dyDescent="0.3"/>
    <row r="106" ht="10.5" customHeight="1" x14ac:dyDescent="0.3"/>
    <row r="117" ht="12" customHeight="1" x14ac:dyDescent="0.3"/>
    <row r="118" ht="12" customHeight="1" x14ac:dyDescent="0.3"/>
    <row r="129" ht="13.5" customHeight="1" x14ac:dyDescent="0.3"/>
    <row r="176" ht="10.5" customHeight="1" x14ac:dyDescent="0.3"/>
    <row r="177" ht="10.5" customHeight="1" x14ac:dyDescent="0.3"/>
  </sheetData>
  <mergeCells count="40">
    <mergeCell ref="E37:E38"/>
    <mergeCell ref="F37:F38"/>
    <mergeCell ref="G37:G38"/>
    <mergeCell ref="H37:H38"/>
    <mergeCell ref="F48:F49"/>
    <mergeCell ref="B67:H67"/>
    <mergeCell ref="B61:F61"/>
    <mergeCell ref="B63:H63"/>
    <mergeCell ref="B64:H64"/>
    <mergeCell ref="G48:G49"/>
    <mergeCell ref="B57:F57"/>
    <mergeCell ref="B56:F56"/>
    <mergeCell ref="B58:F58"/>
    <mergeCell ref="B59:F59"/>
    <mergeCell ref="B60:F60"/>
    <mergeCell ref="B65:H65"/>
    <mergeCell ref="B66:H66"/>
    <mergeCell ref="C46:D46"/>
    <mergeCell ref="B48:B49"/>
    <mergeCell ref="C48:C49"/>
    <mergeCell ref="D48:D49"/>
    <mergeCell ref="E48:E49"/>
    <mergeCell ref="C25:D25"/>
    <mergeCell ref="C29:D29"/>
    <mergeCell ref="C32:D32"/>
    <mergeCell ref="C35:D35"/>
    <mergeCell ref="B37:B38"/>
    <mergeCell ref="C37:C38"/>
    <mergeCell ref="D37:D38"/>
    <mergeCell ref="B16:E16"/>
    <mergeCell ref="B1:H1"/>
    <mergeCell ref="B2:H2"/>
    <mergeCell ref="B3:H3"/>
    <mergeCell ref="J3:K3"/>
    <mergeCell ref="B4:H5"/>
    <mergeCell ref="F8:F12"/>
    <mergeCell ref="G8:G12"/>
    <mergeCell ref="B14:E14"/>
    <mergeCell ref="B15:E15"/>
    <mergeCell ref="C6:H6"/>
  </mergeCells>
  <dataValidations count="1">
    <dataValidation type="custom" allowBlank="1" showErrorMessage="1" errorTitle="Erro" error="Não é permitido escrever nesta célula" sqref="IP91 SL91 ACH91 AMD91 AVZ91 BFV91 BPR91 BZN91 CJJ91 CTF91 DDB91 DMX91 DWT91 EGP91 EQL91 FAH91 FKD91 FTZ91 GDV91 GNR91 GXN91 HHJ91 HRF91 IBB91 IKX91 IUT91 JEP91 JOL91 JYH91 KID91 KRZ91 LBV91 LLR91 LVN91 MFJ91 MPF91 MZB91 NIX91 NST91 OCP91 OML91 OWH91 PGD91 PPZ91 PZV91 QJR91 QTN91 RDJ91 RNF91 RXB91 SGX91 SQT91 TAP91 TKL91 TUH91 UED91 UNZ91 UXV91 VHR91 VRN91 WBJ91 WLF91 WVB91 IP65627 SL65627 ACH65627 AMD65627 AVZ65627 BFV65627 BPR65627 BZN65627 CJJ65627 CTF65627 DDB65627 DMX65627 DWT65627 EGP65627 EQL65627 FAH65627 FKD65627 FTZ65627 GDV65627 GNR65627 GXN65627 HHJ65627 HRF65627 IBB65627 IKX65627 IUT65627 JEP65627 JOL65627 JYH65627 KID65627 KRZ65627 LBV65627 LLR65627 LVN65627 MFJ65627 MPF65627 MZB65627 NIX65627 NST65627 OCP65627 OML65627 OWH65627 PGD65627 PPZ65627 PZV65627 QJR65627 QTN65627 RDJ65627 RNF65627 RXB65627 SGX65627 SQT65627 TAP65627 TKL65627 TUH65627 UED65627 UNZ65627 UXV65627 VHR65627 VRN65627 WBJ65627 WLF65627 WVB65627 IP131163 SL131163 ACH131163 AMD131163 AVZ131163 BFV131163 BPR131163 BZN131163 CJJ131163 CTF131163 DDB131163 DMX131163 DWT131163 EGP131163 EQL131163 FAH131163 FKD131163 FTZ131163 GDV131163 GNR131163 GXN131163 HHJ131163 HRF131163 IBB131163 IKX131163 IUT131163 JEP131163 JOL131163 JYH131163 KID131163 KRZ131163 LBV131163 LLR131163 LVN131163 MFJ131163 MPF131163 MZB131163 NIX131163 NST131163 OCP131163 OML131163 OWH131163 PGD131163 PPZ131163 PZV131163 QJR131163 QTN131163 RDJ131163 RNF131163 RXB131163 SGX131163 SQT131163 TAP131163 TKL131163 TUH131163 UED131163 UNZ131163 UXV131163 VHR131163 VRN131163 WBJ131163 WLF131163 WVB131163 IP196699 SL196699 ACH196699 AMD196699 AVZ196699 BFV196699 BPR196699 BZN196699 CJJ196699 CTF196699 DDB196699 DMX196699 DWT196699 EGP196699 EQL196699 FAH196699 FKD196699 FTZ196699 GDV196699 GNR196699 GXN196699 HHJ196699 HRF196699 IBB196699 IKX196699 IUT196699 JEP196699 JOL196699 JYH196699 KID196699 KRZ196699 LBV196699 LLR196699 LVN196699 MFJ196699 MPF196699 MZB196699 NIX196699 NST196699 OCP196699 OML196699 OWH196699 PGD196699 PPZ196699 PZV196699 QJR196699 QTN196699 RDJ196699 RNF196699 RXB196699 SGX196699 SQT196699 TAP196699 TKL196699 TUH196699 UED196699 UNZ196699 UXV196699 VHR196699 VRN196699 WBJ196699 WLF196699 WVB196699 IP262235 SL262235 ACH262235 AMD262235 AVZ262235 BFV262235 BPR262235 BZN262235 CJJ262235 CTF262235 DDB262235 DMX262235 DWT262235 EGP262235 EQL262235 FAH262235 FKD262235 FTZ262235 GDV262235 GNR262235 GXN262235 HHJ262235 HRF262235 IBB262235 IKX262235 IUT262235 JEP262235 JOL262235 JYH262235 KID262235 KRZ262235 LBV262235 LLR262235 LVN262235 MFJ262235 MPF262235 MZB262235 NIX262235 NST262235 OCP262235 OML262235 OWH262235 PGD262235 PPZ262235 PZV262235 QJR262235 QTN262235 RDJ262235 RNF262235 RXB262235 SGX262235 SQT262235 TAP262235 TKL262235 TUH262235 UED262235 UNZ262235 UXV262235 VHR262235 VRN262235 WBJ262235 WLF262235 WVB262235 IP327771 SL327771 ACH327771 AMD327771 AVZ327771 BFV327771 BPR327771 BZN327771 CJJ327771 CTF327771 DDB327771 DMX327771 DWT327771 EGP327771 EQL327771 FAH327771 FKD327771 FTZ327771 GDV327771 GNR327771 GXN327771 HHJ327771 HRF327771 IBB327771 IKX327771 IUT327771 JEP327771 JOL327771 JYH327771 KID327771 KRZ327771 LBV327771 LLR327771 LVN327771 MFJ327771 MPF327771 MZB327771 NIX327771 NST327771 OCP327771 OML327771 OWH327771 PGD327771 PPZ327771 PZV327771 QJR327771 QTN327771 RDJ327771 RNF327771 RXB327771 SGX327771 SQT327771 TAP327771 TKL327771 TUH327771 UED327771 UNZ327771 UXV327771 VHR327771 VRN327771 WBJ327771 WLF327771 WVB327771 IP393307 SL393307 ACH393307 AMD393307 AVZ393307 BFV393307 BPR393307 BZN393307 CJJ393307 CTF393307 DDB393307 DMX393307 DWT393307 EGP393307 EQL393307 FAH393307 FKD393307 FTZ393307 GDV393307 GNR393307 GXN393307 HHJ393307 HRF393307 IBB393307 IKX393307 IUT393307 JEP393307 JOL393307 JYH393307 KID393307 KRZ393307 LBV393307 LLR393307 LVN393307 MFJ393307 MPF393307 MZB393307 NIX393307 NST393307 OCP393307 OML393307 OWH393307 PGD393307 PPZ393307 PZV393307 QJR393307 QTN393307 RDJ393307 RNF393307 RXB393307 SGX393307 SQT393307 TAP393307 TKL393307 TUH393307 UED393307 UNZ393307 UXV393307 VHR393307 VRN393307 WBJ393307 WLF393307 WVB393307 IP458843 SL458843 ACH458843 AMD458843 AVZ458843 BFV458843 BPR458843 BZN458843 CJJ458843 CTF458843 DDB458843 DMX458843 DWT458843 EGP458843 EQL458843 FAH458843 FKD458843 FTZ458843 GDV458843 GNR458843 GXN458843 HHJ458843 HRF458843 IBB458843 IKX458843 IUT458843 JEP458843 JOL458843 JYH458843 KID458843 KRZ458843 LBV458843 LLR458843 LVN458843 MFJ458843 MPF458843 MZB458843 NIX458843 NST458843 OCP458843 OML458843 OWH458843 PGD458843 PPZ458843 PZV458843 QJR458843 QTN458843 RDJ458843 RNF458843 RXB458843 SGX458843 SQT458843 TAP458843 TKL458843 TUH458843 UED458843 UNZ458843 UXV458843 VHR458843 VRN458843 WBJ458843 WLF458843 WVB458843 IP524379 SL524379 ACH524379 AMD524379 AVZ524379 BFV524379 BPR524379 BZN524379 CJJ524379 CTF524379 DDB524379 DMX524379 DWT524379 EGP524379 EQL524379 FAH524379 FKD524379 FTZ524379 GDV524379 GNR524379 GXN524379 HHJ524379 HRF524379 IBB524379 IKX524379 IUT524379 JEP524379 JOL524379 JYH524379 KID524379 KRZ524379 LBV524379 LLR524379 LVN524379 MFJ524379 MPF524379 MZB524379 NIX524379 NST524379 OCP524379 OML524379 OWH524379 PGD524379 PPZ524379 PZV524379 QJR524379 QTN524379 RDJ524379 RNF524379 RXB524379 SGX524379 SQT524379 TAP524379 TKL524379 TUH524379 UED524379 UNZ524379 UXV524379 VHR524379 VRN524379 WBJ524379 WLF524379 WVB524379 IP589915 SL589915 ACH589915 AMD589915 AVZ589915 BFV589915 BPR589915 BZN589915 CJJ589915 CTF589915 DDB589915 DMX589915 DWT589915 EGP589915 EQL589915 FAH589915 FKD589915 FTZ589915 GDV589915 GNR589915 GXN589915 HHJ589915 HRF589915 IBB589915 IKX589915 IUT589915 JEP589915 JOL589915 JYH589915 KID589915 KRZ589915 LBV589915 LLR589915 LVN589915 MFJ589915 MPF589915 MZB589915 NIX589915 NST589915 OCP589915 OML589915 OWH589915 PGD589915 PPZ589915 PZV589915 QJR589915 QTN589915 RDJ589915 RNF589915 RXB589915 SGX589915 SQT589915 TAP589915 TKL589915 TUH589915 UED589915 UNZ589915 UXV589915 VHR589915 VRN589915 WBJ589915 WLF589915 WVB589915 IP655451 SL655451 ACH655451 AMD655451 AVZ655451 BFV655451 BPR655451 BZN655451 CJJ655451 CTF655451 DDB655451 DMX655451 DWT655451 EGP655451 EQL655451 FAH655451 FKD655451 FTZ655451 GDV655451 GNR655451 GXN655451 HHJ655451 HRF655451 IBB655451 IKX655451 IUT655451 JEP655451 JOL655451 JYH655451 KID655451 KRZ655451 LBV655451 LLR655451 LVN655451 MFJ655451 MPF655451 MZB655451 NIX655451 NST655451 OCP655451 OML655451 OWH655451 PGD655451 PPZ655451 PZV655451 QJR655451 QTN655451 RDJ655451 RNF655451 RXB655451 SGX655451 SQT655451 TAP655451 TKL655451 TUH655451 UED655451 UNZ655451 UXV655451 VHR655451 VRN655451 WBJ655451 WLF655451 WVB655451 IP720987 SL720987 ACH720987 AMD720987 AVZ720987 BFV720987 BPR720987 BZN720987 CJJ720987 CTF720987 DDB720987 DMX720987 DWT720987 EGP720987 EQL720987 FAH720987 FKD720987 FTZ720987 GDV720987 GNR720987 GXN720987 HHJ720987 HRF720987 IBB720987 IKX720987 IUT720987 JEP720987 JOL720987 JYH720987 KID720987 KRZ720987 LBV720987 LLR720987 LVN720987 MFJ720987 MPF720987 MZB720987 NIX720987 NST720987 OCP720987 OML720987 OWH720987 PGD720987 PPZ720987 PZV720987 QJR720987 QTN720987 RDJ720987 RNF720987 RXB720987 SGX720987 SQT720987 TAP720987 TKL720987 TUH720987 UED720987 UNZ720987 UXV720987 VHR720987 VRN720987 WBJ720987 WLF720987 WVB720987 IP786523 SL786523 ACH786523 AMD786523 AVZ786523 BFV786523 BPR786523 BZN786523 CJJ786523 CTF786523 DDB786523 DMX786523 DWT786523 EGP786523 EQL786523 FAH786523 FKD786523 FTZ786523 GDV786523 GNR786523 GXN786523 HHJ786523 HRF786523 IBB786523 IKX786523 IUT786523 JEP786523 JOL786523 JYH786523 KID786523 KRZ786523 LBV786523 LLR786523 LVN786523 MFJ786523 MPF786523 MZB786523 NIX786523 NST786523 OCP786523 OML786523 OWH786523 PGD786523 PPZ786523 PZV786523 QJR786523 QTN786523 RDJ786523 RNF786523 RXB786523 SGX786523 SQT786523 TAP786523 TKL786523 TUH786523 UED786523 UNZ786523 UXV786523 VHR786523 VRN786523 WBJ786523 WLF786523 WVB786523 IP852059 SL852059 ACH852059 AMD852059 AVZ852059 BFV852059 BPR852059 BZN852059 CJJ852059 CTF852059 DDB852059 DMX852059 DWT852059 EGP852059 EQL852059 FAH852059 FKD852059 FTZ852059 GDV852059 GNR852059 GXN852059 HHJ852059 HRF852059 IBB852059 IKX852059 IUT852059 JEP852059 JOL852059 JYH852059 KID852059 KRZ852059 LBV852059 LLR852059 LVN852059 MFJ852059 MPF852059 MZB852059 NIX852059 NST852059 OCP852059 OML852059 OWH852059 PGD852059 PPZ852059 PZV852059 QJR852059 QTN852059 RDJ852059 RNF852059 RXB852059 SGX852059 SQT852059 TAP852059 TKL852059 TUH852059 UED852059 UNZ852059 UXV852059 VHR852059 VRN852059 WBJ852059 WLF852059 WVB852059 IP917595 SL917595 ACH917595 AMD917595 AVZ917595 BFV917595 BPR917595 BZN917595 CJJ917595 CTF917595 DDB917595 DMX917595 DWT917595 EGP917595 EQL917595 FAH917595 FKD917595 FTZ917595 GDV917595 GNR917595 GXN917595 HHJ917595 HRF917595 IBB917595 IKX917595 IUT917595 JEP917595 JOL917595 JYH917595 KID917595 KRZ917595 LBV917595 LLR917595 LVN917595 MFJ917595 MPF917595 MZB917595 NIX917595 NST917595 OCP917595 OML917595 OWH917595 PGD917595 PPZ917595 PZV917595 QJR917595 QTN917595 RDJ917595 RNF917595 RXB917595 SGX917595 SQT917595 TAP917595 TKL917595 TUH917595 UED917595 UNZ917595 UXV917595 VHR917595 VRN917595 WBJ917595 WLF917595 WVB917595 IP983131 SL983131 ACH983131 AMD983131 AVZ983131 BFV983131 BPR983131 BZN983131 CJJ983131 CTF983131 DDB983131 DMX983131 DWT983131 EGP983131 EQL983131 FAH983131 FKD983131 FTZ983131 GDV983131 GNR983131 GXN983131 HHJ983131 HRF983131 IBB983131 IKX983131 IUT983131 JEP983131 JOL983131 JYH983131 KID983131 KRZ983131 LBV983131 LLR983131 LVN983131 MFJ983131 MPF983131 MZB983131 NIX983131 NST983131 OCP983131 OML983131 OWH983131 PGD983131 PPZ983131 PZV983131 QJR983131 QTN983131 RDJ983131 RNF983131 RXB983131 SGX983131 SQT983131 TAP983131 TKL983131 TUH983131 UED983131 UNZ983131 UXV983131 VHR983131 VRN983131 WBJ983131 WLF983131 WVB983131">
      <formula1>"&lt;""""&gt; "</formula1>
      <formula2>0</formula2>
    </dataValidation>
  </dataValidations>
  <pageMargins left="0.98425196850393704" right="0.39370078740157483" top="0.78740157480314965" bottom="0.98425196850393704" header="0.59055118110236227" footer="0.78740157480314965"/>
  <pageSetup paperSize="9" scale="57" firstPageNumber="0" orientation="portrait" r:id="rId1"/>
  <headerFooter alignWithMargins="0">
    <oddHeader>&amp;RPlanilha MODELO LICITANTE</oddHeader>
    <oddFooter>&amp;C&amp;"Arial Narrow,Normal"&amp;A - Página &amp;P</oddFooter>
  </headerFooter>
  <ignoredErrors>
    <ignoredError sqref="G58:G60" formula="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8"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488</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175</v>
      </c>
      <c r="G16" s="1017"/>
      <c r="H16" s="3"/>
    </row>
    <row r="17" spans="1:8" ht="14.1" customHeight="1" x14ac:dyDescent="0.2">
      <c r="A17" s="1000" t="s">
        <v>21</v>
      </c>
      <c r="B17" s="1001"/>
      <c r="C17" s="1001"/>
      <c r="D17" s="1001"/>
      <c r="E17" s="1002"/>
      <c r="F17" s="1016" t="s">
        <v>148</v>
      </c>
      <c r="G17" s="1017"/>
      <c r="H17" s="3"/>
    </row>
    <row r="18" spans="1:8" ht="14.1" customHeight="1" x14ac:dyDescent="0.2">
      <c r="A18" s="1000" t="s">
        <v>1</v>
      </c>
      <c r="B18" s="1001"/>
      <c r="C18" s="1001"/>
      <c r="D18" s="1001"/>
      <c r="E18" s="1002"/>
      <c r="F18" s="1010">
        <v>1717.2</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5</v>
      </c>
      <c r="G22" s="1009"/>
    </row>
    <row r="23" spans="1:8" ht="12.75" customHeight="1" x14ac:dyDescent="0.2">
      <c r="A23" s="1005" t="s">
        <v>25</v>
      </c>
      <c r="B23" s="1006"/>
      <c r="C23" s="1006"/>
      <c r="D23" s="1006"/>
      <c r="E23" s="1007"/>
      <c r="F23" s="1018" t="s">
        <v>214</v>
      </c>
      <c r="G23" s="1019"/>
    </row>
    <row r="24" spans="1:8" ht="25.5" customHeight="1" x14ac:dyDescent="0.2">
      <c r="A24" s="1046" t="s">
        <v>487</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1717.2</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ROUND((ROUND((3*22),2)/52.5)*60,2)*0</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2324.4</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193.62</v>
      </c>
      <c r="H37" s="54"/>
    </row>
    <row r="38" spans="1:8" x14ac:dyDescent="0.2">
      <c r="A38" s="108" t="s">
        <v>29</v>
      </c>
      <c r="B38" s="977" t="s">
        <v>157</v>
      </c>
      <c r="C38" s="978"/>
      <c r="D38" s="978"/>
      <c r="E38" s="990"/>
      <c r="F38" s="109">
        <f>ROUND((1/11)+(1/11)/3, 3)</f>
        <v>0.121</v>
      </c>
      <c r="G38" s="8">
        <f>ROUND(G$34*F38,2)</f>
        <v>281.25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963" t="s">
        <v>41</v>
      </c>
      <c r="B41" s="964"/>
      <c r="C41" s="964"/>
      <c r="D41" s="964"/>
      <c r="E41" s="962"/>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92"/>
      <c r="F43" s="44">
        <v>0.2</v>
      </c>
      <c r="G43" s="22">
        <f>ROUND((G$34)*F43,2)</f>
        <v>464.88</v>
      </c>
      <c r="H43" s="4"/>
    </row>
    <row r="44" spans="1:8" x14ac:dyDescent="0.2">
      <c r="A44" s="37" t="s">
        <v>29</v>
      </c>
      <c r="B44" s="975" t="s">
        <v>43</v>
      </c>
      <c r="C44" s="976"/>
      <c r="D44" s="976"/>
      <c r="E44" s="989"/>
      <c r="F44" s="106">
        <v>2.5000000000000001E-2</v>
      </c>
      <c r="G44" s="113">
        <f>ROUND((G$34)*F44,2)</f>
        <v>58.11</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34.869999999999997</v>
      </c>
      <c r="H46" s="4"/>
    </row>
    <row r="47" spans="1:8" x14ac:dyDescent="0.2">
      <c r="A47" s="37" t="s">
        <v>32</v>
      </c>
      <c r="B47" s="975" t="s">
        <v>46</v>
      </c>
      <c r="C47" s="976"/>
      <c r="D47" s="976"/>
      <c r="E47" s="989"/>
      <c r="F47" s="106">
        <v>0.01</v>
      </c>
      <c r="G47" s="113">
        <f t="shared" si="0"/>
        <v>23.24</v>
      </c>
      <c r="H47" s="4"/>
    </row>
    <row r="48" spans="1:8" x14ac:dyDescent="0.2">
      <c r="A48" s="37" t="s">
        <v>34</v>
      </c>
      <c r="B48" s="975" t="s">
        <v>47</v>
      </c>
      <c r="C48" s="976"/>
      <c r="D48" s="976"/>
      <c r="E48" s="989"/>
      <c r="F48" s="106">
        <v>6.0000000000000001E-3</v>
      </c>
      <c r="G48" s="113">
        <f t="shared" si="0"/>
        <v>13.95</v>
      </c>
      <c r="H48" s="4"/>
    </row>
    <row r="49" spans="1:8" x14ac:dyDescent="0.2">
      <c r="A49" s="37" t="s">
        <v>48</v>
      </c>
      <c r="B49" s="975" t="s">
        <v>49</v>
      </c>
      <c r="C49" s="976"/>
      <c r="D49" s="976"/>
      <c r="E49" s="989"/>
      <c r="F49" s="106">
        <v>2E-3</v>
      </c>
      <c r="G49" s="113">
        <f t="shared" si="0"/>
        <v>4.6500000000000004</v>
      </c>
      <c r="H49" s="4"/>
    </row>
    <row r="50" spans="1:8" x14ac:dyDescent="0.2">
      <c r="A50" s="108" t="s">
        <v>50</v>
      </c>
      <c r="B50" s="977" t="s">
        <v>51</v>
      </c>
      <c r="C50" s="978"/>
      <c r="D50" s="978"/>
      <c r="E50" s="990"/>
      <c r="F50" s="109">
        <v>0.08</v>
      </c>
      <c r="G50" s="113">
        <f t="shared" si="0"/>
        <v>185.95</v>
      </c>
      <c r="H50" s="4"/>
    </row>
    <row r="51" spans="1:8" x14ac:dyDescent="0.2">
      <c r="A51" s="963" t="s">
        <v>52</v>
      </c>
      <c r="B51" s="964"/>
      <c r="C51" s="964"/>
      <c r="D51" s="964"/>
      <c r="E51" s="962"/>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52</v>
      </c>
      <c r="G53" s="14">
        <f>IF(ROUND((E53*F53)-(G27*0.06),2)&lt;0,0,ROUND((E53*F53)-(G27*0.06),2))</f>
        <v>0</v>
      </c>
      <c r="H53" s="36"/>
    </row>
    <row r="54" spans="1:8" s="35" customFormat="1" x14ac:dyDescent="0.2">
      <c r="A54" s="37" t="s">
        <v>55</v>
      </c>
      <c r="B54" s="981" t="s">
        <v>56</v>
      </c>
      <c r="C54" s="982"/>
      <c r="D54" s="982"/>
      <c r="E54" s="115">
        <f>20.76-1.39</f>
        <v>19.37</v>
      </c>
      <c r="F54" s="116">
        <v>26</v>
      </c>
      <c r="G54" s="103">
        <f>ROUND((E54*F54),2)</f>
        <v>503.62</v>
      </c>
      <c r="H54" s="36"/>
    </row>
    <row r="55" spans="1:8" s="35" customFormat="1" x14ac:dyDescent="0.2">
      <c r="A55" s="37" t="s">
        <v>57</v>
      </c>
      <c r="B55" s="981" t="s">
        <v>58</v>
      </c>
      <c r="C55" s="982"/>
      <c r="D55" s="982"/>
      <c r="E55" s="115">
        <v>144.68</v>
      </c>
      <c r="F55" s="116">
        <v>1</v>
      </c>
      <c r="G55" s="103">
        <f>ROUND((E55*F55),2)</f>
        <v>144.68</v>
      </c>
      <c r="H55" s="36"/>
    </row>
    <row r="56" spans="1:8" s="35" customFormat="1" x14ac:dyDescent="0.2">
      <c r="A56" s="37" t="s">
        <v>30</v>
      </c>
      <c r="B56" s="981" t="s">
        <v>149</v>
      </c>
      <c r="C56" s="982"/>
      <c r="D56" s="982"/>
      <c r="E56" s="115">
        <v>35.33</v>
      </c>
      <c r="F56" s="116">
        <v>1</v>
      </c>
      <c r="G56" s="103">
        <f>ROUND((E56*F56),2)</f>
        <v>35.33</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150</v>
      </c>
      <c r="C58" s="982"/>
      <c r="D58" s="982"/>
      <c r="E58" s="115">
        <f>20.76</f>
        <v>20.76</v>
      </c>
      <c r="F58" s="116">
        <v>1</v>
      </c>
      <c r="G58" s="103">
        <f>ROUND((E58*F58)/12,2)</f>
        <v>1.73</v>
      </c>
      <c r="H58" s="36"/>
    </row>
    <row r="59" spans="1:8" s="35" customFormat="1" x14ac:dyDescent="0.2">
      <c r="A59" s="37" t="s">
        <v>34</v>
      </c>
      <c r="B59" s="987" t="s">
        <v>180</v>
      </c>
      <c r="C59" s="988"/>
      <c r="D59" s="988"/>
      <c r="E59" s="115">
        <f>15.96</f>
        <v>15.96</v>
      </c>
      <c r="F59" s="117">
        <v>1</v>
      </c>
      <c r="G59" s="118">
        <f>ROUND((E59*F59),2)</f>
        <v>15.96</v>
      </c>
      <c r="H59" s="36"/>
    </row>
    <row r="60" spans="1:8" s="35" customFormat="1" x14ac:dyDescent="0.2">
      <c r="A60" s="37" t="s">
        <v>48</v>
      </c>
      <c r="B60" s="981" t="s">
        <v>254</v>
      </c>
      <c r="C60" s="982"/>
      <c r="D60" s="982"/>
      <c r="E60" s="115">
        <v>300</v>
      </c>
      <c r="F60" s="116">
        <v>1</v>
      </c>
      <c r="G60" s="103">
        <f>ROUND((E60*F60),2)</f>
        <v>300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1001.32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635.49</v>
      </c>
      <c r="H65" s="4"/>
    </row>
    <row r="66" spans="1:8" x14ac:dyDescent="0.2">
      <c r="A66" s="121" t="s">
        <v>64</v>
      </c>
      <c r="B66" s="927" t="s">
        <v>128</v>
      </c>
      <c r="C66" s="928"/>
      <c r="D66" s="928"/>
      <c r="E66" s="928"/>
      <c r="F66" s="18">
        <f>F51</f>
        <v>0.33800000000000002</v>
      </c>
      <c r="G66" s="122">
        <f>G51</f>
        <v>785.65</v>
      </c>
      <c r="H66" s="4"/>
    </row>
    <row r="67" spans="1:8" x14ac:dyDescent="0.2">
      <c r="A67" s="121" t="s">
        <v>65</v>
      </c>
      <c r="B67" s="927" t="s">
        <v>66</v>
      </c>
      <c r="C67" s="928"/>
      <c r="D67" s="928"/>
      <c r="E67" s="928"/>
      <c r="F67" s="929"/>
      <c r="G67" s="122">
        <f>G63</f>
        <v>1001.32</v>
      </c>
      <c r="H67" s="4"/>
    </row>
    <row r="68" spans="1:8" x14ac:dyDescent="0.2">
      <c r="A68" s="936" t="s">
        <v>67</v>
      </c>
      <c r="B68" s="937"/>
      <c r="C68" s="937"/>
      <c r="D68" s="937"/>
      <c r="E68" s="937"/>
      <c r="F68" s="938"/>
      <c r="G68" s="105">
        <f>SUM(G65:G67)</f>
        <v>2422.46</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EPI''s'!I17</f>
        <v>0</v>
      </c>
      <c r="F108" s="24">
        <v>1</v>
      </c>
      <c r="G108" s="103">
        <f>ROUND(SUM(C108:E108),2)*F108</f>
        <v>0</v>
      </c>
      <c r="H108" s="4"/>
    </row>
    <row r="109" spans="1:8" s="35" customFormat="1" x14ac:dyDescent="0.2">
      <c r="A109" s="37" t="s">
        <v>29</v>
      </c>
      <c r="B109" s="967" t="str">
        <f>'Uniformes e EPI''s'!A19</f>
        <v>EPI's</v>
      </c>
      <c r="C109" s="920"/>
      <c r="D109" s="920"/>
      <c r="E109" s="45">
        <f>'Uniformes e EPI''s'!H39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249.83</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249.83</v>
      </c>
      <c r="H127" s="4">
        <f ca="1">ROUND(G139*F127,2)</f>
        <v>249.83</v>
      </c>
    </row>
    <row r="128" spans="1:8" x14ac:dyDescent="0.2">
      <c r="A128" s="936" t="s">
        <v>104</v>
      </c>
      <c r="B128" s="937"/>
      <c r="C128" s="937"/>
      <c r="D128" s="937"/>
      <c r="E128" s="937"/>
      <c r="F128" s="23">
        <f>SUM(F119,F120,F127)</f>
        <v>0.05</v>
      </c>
      <c r="G128" s="126">
        <f ca="1">SUM(G119:G126)</f>
        <v>249.83</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2324.4</v>
      </c>
      <c r="H130" s="4"/>
    </row>
    <row r="131" spans="1:8" x14ac:dyDescent="0.2">
      <c r="A131" s="121" t="s">
        <v>29</v>
      </c>
      <c r="B131" s="927" t="s">
        <v>107</v>
      </c>
      <c r="C131" s="928"/>
      <c r="D131" s="928"/>
      <c r="E131" s="928"/>
      <c r="F131" s="929"/>
      <c r="G131" s="122">
        <f>G68</f>
        <v>2422.46</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4746.8599999999997</v>
      </c>
      <c r="H135" s="4"/>
    </row>
    <row r="136" spans="1:8" x14ac:dyDescent="0.2">
      <c r="A136" s="121" t="s">
        <v>34</v>
      </c>
      <c r="B136" s="933" t="s">
        <v>112</v>
      </c>
      <c r="C136" s="934"/>
      <c r="D136" s="934"/>
      <c r="E136" s="934"/>
      <c r="F136" s="935"/>
      <c r="G136" s="122">
        <f ca="1">G128</f>
        <v>249.83</v>
      </c>
      <c r="H136" s="4"/>
    </row>
    <row r="137" spans="1:8" x14ac:dyDescent="0.2">
      <c r="A137" s="936" t="s">
        <v>113</v>
      </c>
      <c r="B137" s="937"/>
      <c r="C137" s="937"/>
      <c r="D137" s="937"/>
      <c r="E137" s="937"/>
      <c r="F137" s="938"/>
      <c r="G137" s="105">
        <f ca="1">SUM(G135:G136)</f>
        <v>4996.6899999999996</v>
      </c>
      <c r="H137" s="4">
        <f ca="1">SUM(G130:G136)-G135</f>
        <v>4996.6899999999996</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4996.6899999999996</v>
      </c>
      <c r="H139" s="4"/>
    </row>
    <row r="140" spans="1:8" x14ac:dyDescent="0.2">
      <c r="A140" s="766"/>
      <c r="B140" s="767" t="s">
        <v>115</v>
      </c>
      <c r="C140" s="767"/>
      <c r="D140" s="767"/>
      <c r="E140" s="767"/>
      <c r="F140" s="768">
        <f>F21</f>
        <v>1</v>
      </c>
      <c r="G140" s="769">
        <f ca="1">G139*F140</f>
        <v>4996.6899999999996</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1"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488</v>
      </c>
      <c r="G7" s="1036"/>
    </row>
    <row r="8" spans="1:8" ht="19.5" customHeight="1" x14ac:dyDescent="0.2">
      <c r="A8" s="1040" t="s">
        <v>215</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t="s">
        <v>465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216</v>
      </c>
      <c r="G16" s="1017"/>
      <c r="H16" s="3"/>
    </row>
    <row r="17" spans="1:8" ht="14.1" customHeight="1" x14ac:dyDescent="0.2">
      <c r="A17" s="1000" t="s">
        <v>21</v>
      </c>
      <c r="B17" s="1001"/>
      <c r="C17" s="1001"/>
      <c r="D17" s="1001"/>
      <c r="E17" s="1002"/>
      <c r="F17" s="1016" t="s">
        <v>218</v>
      </c>
      <c r="G17" s="1017"/>
      <c r="H17" s="3"/>
    </row>
    <row r="18" spans="1:8" ht="14.1" customHeight="1" x14ac:dyDescent="0.2">
      <c r="A18" s="1000" t="s">
        <v>1</v>
      </c>
      <c r="B18" s="1001"/>
      <c r="C18" s="1001"/>
      <c r="D18" s="1001"/>
      <c r="E18" s="1002"/>
      <c r="F18" s="1010">
        <v>1732.39</v>
      </c>
      <c r="G18" s="1011"/>
    </row>
    <row r="19" spans="1:8" ht="14.1" customHeight="1" x14ac:dyDescent="0.2">
      <c r="A19" s="1005" t="s">
        <v>8</v>
      </c>
      <c r="B19" s="1006"/>
      <c r="C19" s="1006"/>
      <c r="D19" s="1006"/>
      <c r="E19" s="1007"/>
      <c r="F19" s="1012">
        <v>45717</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1" customHeight="1" x14ac:dyDescent="0.2">
      <c r="A24" s="1046" t="s">
        <v>487</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307" t="s">
        <v>27</v>
      </c>
      <c r="G26" s="100" t="s">
        <v>3</v>
      </c>
    </row>
    <row r="27" spans="1:8" s="35" customFormat="1" x14ac:dyDescent="0.2">
      <c r="A27" s="101" t="s">
        <v>28</v>
      </c>
      <c r="B27" s="995" t="s">
        <v>153</v>
      </c>
      <c r="C27" s="995"/>
      <c r="D27" s="995"/>
      <c r="E27" s="995"/>
      <c r="F27" s="102">
        <v>1</v>
      </c>
      <c r="G27" s="103">
        <f>F18*F27</f>
        <v>1732.39</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0.2</v>
      </c>
      <c r="G29" s="103">
        <f>ROUND(F15*F29,2)</f>
        <v>303.60000000000002</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2035.99</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169.6</v>
      </c>
      <c r="H37" s="54"/>
    </row>
    <row r="38" spans="1:8" x14ac:dyDescent="0.2">
      <c r="A38" s="108" t="s">
        <v>29</v>
      </c>
      <c r="B38" s="977" t="s">
        <v>157</v>
      </c>
      <c r="C38" s="978"/>
      <c r="D38" s="978"/>
      <c r="E38" s="990"/>
      <c r="F38" s="109">
        <f>ROUND((1/11)+(1/11)/3, 3)</f>
        <v>0.121</v>
      </c>
      <c r="G38" s="8">
        <f>ROUND(G$34*F38,2)</f>
        <v>246.35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963" t="s">
        <v>41</v>
      </c>
      <c r="B41" s="964"/>
      <c r="C41" s="964"/>
      <c r="D41" s="964"/>
      <c r="E41" s="962"/>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92"/>
      <c r="F43" s="44">
        <v>0.2</v>
      </c>
      <c r="G43" s="22">
        <f>ROUND((G$34)*F43,2)</f>
        <v>407.2</v>
      </c>
      <c r="H43" s="4"/>
    </row>
    <row r="44" spans="1:8" x14ac:dyDescent="0.2">
      <c r="A44" s="37" t="s">
        <v>29</v>
      </c>
      <c r="B44" s="975" t="s">
        <v>43</v>
      </c>
      <c r="C44" s="976"/>
      <c r="D44" s="976"/>
      <c r="E44" s="989"/>
      <c r="F44" s="106">
        <v>2.5000000000000001E-2</v>
      </c>
      <c r="G44" s="113">
        <f>ROUND((G$34)*F44,2)</f>
        <v>50.9</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30.54</v>
      </c>
      <c r="H46" s="4"/>
    </row>
    <row r="47" spans="1:8" x14ac:dyDescent="0.2">
      <c r="A47" s="37" t="s">
        <v>32</v>
      </c>
      <c r="B47" s="975" t="s">
        <v>46</v>
      </c>
      <c r="C47" s="976"/>
      <c r="D47" s="976"/>
      <c r="E47" s="989"/>
      <c r="F47" s="106">
        <v>0.01</v>
      </c>
      <c r="G47" s="113">
        <f t="shared" si="0"/>
        <v>20.36</v>
      </c>
      <c r="H47" s="4"/>
    </row>
    <row r="48" spans="1:8" x14ac:dyDescent="0.2">
      <c r="A48" s="37" t="s">
        <v>34</v>
      </c>
      <c r="B48" s="975" t="s">
        <v>47</v>
      </c>
      <c r="C48" s="976"/>
      <c r="D48" s="976"/>
      <c r="E48" s="989"/>
      <c r="F48" s="106">
        <v>6.0000000000000001E-3</v>
      </c>
      <c r="G48" s="113">
        <f t="shared" si="0"/>
        <v>12.22</v>
      </c>
      <c r="H48" s="4"/>
    </row>
    <row r="49" spans="1:8" x14ac:dyDescent="0.2">
      <c r="A49" s="37" t="s">
        <v>48</v>
      </c>
      <c r="B49" s="975" t="s">
        <v>49</v>
      </c>
      <c r="C49" s="976"/>
      <c r="D49" s="976"/>
      <c r="E49" s="989"/>
      <c r="F49" s="106">
        <v>2E-3</v>
      </c>
      <c r="G49" s="113">
        <f t="shared" si="0"/>
        <v>4.07</v>
      </c>
      <c r="H49" s="4"/>
    </row>
    <row r="50" spans="1:8" x14ac:dyDescent="0.2">
      <c r="A50" s="108" t="s">
        <v>50</v>
      </c>
      <c r="B50" s="977" t="s">
        <v>51</v>
      </c>
      <c r="C50" s="978"/>
      <c r="D50" s="978"/>
      <c r="E50" s="990"/>
      <c r="F50" s="109">
        <v>0.08</v>
      </c>
      <c r="G50" s="113">
        <f t="shared" si="0"/>
        <v>162.88</v>
      </c>
      <c r="H50" s="4"/>
    </row>
    <row r="51" spans="1:8" x14ac:dyDescent="0.2">
      <c r="A51" s="963" t="s">
        <v>52</v>
      </c>
      <c r="B51" s="964"/>
      <c r="C51" s="964"/>
      <c r="D51" s="964"/>
      <c r="E51" s="962"/>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52</v>
      </c>
      <c r="G53" s="14">
        <f>IF(ROUND((E53*F53)-(G27*0.06),2)&lt;0,0,ROUND((E53*F53)-(G27*0.06),2))</f>
        <v>0</v>
      </c>
      <c r="H53" s="36"/>
    </row>
    <row r="54" spans="1:8" s="35" customFormat="1" x14ac:dyDescent="0.2">
      <c r="A54" s="37" t="s">
        <v>55</v>
      </c>
      <c r="B54" s="981" t="s">
        <v>56</v>
      </c>
      <c r="C54" s="982"/>
      <c r="D54" s="982"/>
      <c r="E54" s="115">
        <f>(12.5-1.4)</f>
        <v>11.1</v>
      </c>
      <c r="F54" s="116">
        <v>26</v>
      </c>
      <c r="G54" s="103">
        <f>ROUND((E54*F54),2)</f>
        <v>288.60000000000002</v>
      </c>
      <c r="H54" s="36"/>
    </row>
    <row r="55" spans="1:8" s="35" customFormat="1" x14ac:dyDescent="0.2">
      <c r="A55" s="37" t="s">
        <v>57</v>
      </c>
      <c r="B55" s="981" t="s">
        <v>58</v>
      </c>
      <c r="C55" s="982"/>
      <c r="D55" s="982"/>
      <c r="E55" s="115">
        <f>138.6</f>
        <v>138.6</v>
      </c>
      <c r="F55" s="116">
        <v>1</v>
      </c>
      <c r="G55" s="103">
        <f>ROUND((E55*F55),2)</f>
        <v>138.6</v>
      </c>
      <c r="H55" s="36"/>
    </row>
    <row r="56" spans="1:8" s="35" customFormat="1" x14ac:dyDescent="0.2">
      <c r="A56" s="37" t="s">
        <v>30</v>
      </c>
      <c r="B56" s="981" t="s">
        <v>255</v>
      </c>
      <c r="C56" s="982"/>
      <c r="D56" s="982"/>
      <c r="E56" s="115">
        <v>34.94</v>
      </c>
      <c r="F56" s="116">
        <v>1</v>
      </c>
      <c r="G56" s="103">
        <f>ROUND((E56*F56),2)</f>
        <v>34.94</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217</v>
      </c>
      <c r="C58" s="982"/>
      <c r="D58" s="982"/>
      <c r="E58" s="115">
        <f>ROUND(((F18/220)*8)*1.5,2)</f>
        <v>94.49</v>
      </c>
      <c r="F58" s="116">
        <v>1</v>
      </c>
      <c r="G58" s="103">
        <f>ROUND((E58*F58)/12,2)</f>
        <v>7.87</v>
      </c>
      <c r="H58" s="36"/>
    </row>
    <row r="59" spans="1:8" s="35" customFormat="1" x14ac:dyDescent="0.2">
      <c r="A59" s="37" t="s">
        <v>34</v>
      </c>
      <c r="B59" s="987" t="s">
        <v>180</v>
      </c>
      <c r="C59" s="988"/>
      <c r="D59" s="988"/>
      <c r="E59" s="115">
        <f>9.31</f>
        <v>9.31</v>
      </c>
      <c r="F59" s="117">
        <v>1</v>
      </c>
      <c r="G59" s="118">
        <f>ROUND((E59*F59),2)</f>
        <v>9.31</v>
      </c>
      <c r="H59" s="36"/>
    </row>
    <row r="60" spans="1:8" s="35" customFormat="1" x14ac:dyDescent="0.2">
      <c r="A60" s="37" t="s">
        <v>48</v>
      </c>
      <c r="B60" s="981" t="s">
        <v>152</v>
      </c>
      <c r="C60" s="982"/>
      <c r="D60" s="982"/>
      <c r="E60" s="115">
        <v>0</v>
      </c>
      <c r="F60" s="116">
        <v>1</v>
      </c>
      <c r="G60" s="119">
        <f>ROUND((E60*F60),2)</f>
        <v>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479.32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556.64</v>
      </c>
      <c r="H65" s="4"/>
    </row>
    <row r="66" spans="1:8" x14ac:dyDescent="0.2">
      <c r="A66" s="121" t="s">
        <v>64</v>
      </c>
      <c r="B66" s="927" t="s">
        <v>128</v>
      </c>
      <c r="C66" s="928"/>
      <c r="D66" s="928"/>
      <c r="E66" s="928"/>
      <c r="F66" s="18">
        <f>F51</f>
        <v>0.33800000000000002</v>
      </c>
      <c r="G66" s="122">
        <f>G51</f>
        <v>688.17</v>
      </c>
      <c r="H66" s="4"/>
    </row>
    <row r="67" spans="1:8" x14ac:dyDescent="0.2">
      <c r="A67" s="121" t="s">
        <v>65</v>
      </c>
      <c r="B67" s="927" t="s">
        <v>66</v>
      </c>
      <c r="C67" s="928"/>
      <c r="D67" s="928"/>
      <c r="E67" s="928"/>
      <c r="F67" s="929"/>
      <c r="G67" s="122">
        <f>G63</f>
        <v>479.32</v>
      </c>
      <c r="H67" s="4"/>
    </row>
    <row r="68" spans="1:8" x14ac:dyDescent="0.2">
      <c r="A68" s="936" t="s">
        <v>67</v>
      </c>
      <c r="B68" s="937"/>
      <c r="C68" s="937"/>
      <c r="D68" s="937"/>
      <c r="E68" s="937"/>
      <c r="F68" s="938"/>
      <c r="G68" s="105">
        <f>SUM(G65:G67)</f>
        <v>1724.13</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EPI''s'!I17</f>
        <v>0</v>
      </c>
      <c r="F108" s="24">
        <v>1</v>
      </c>
      <c r="G108" s="103">
        <f>ROUND((E108*F108),2)</f>
        <v>0</v>
      </c>
      <c r="H108" s="4"/>
    </row>
    <row r="109" spans="1:8" s="35" customFormat="1" x14ac:dyDescent="0.2">
      <c r="A109" s="37" t="s">
        <v>29</v>
      </c>
      <c r="B109" s="967" t="str">
        <f>'Uniformes e EPI''s'!A19</f>
        <v>EPI's</v>
      </c>
      <c r="C109" s="920"/>
      <c r="D109" s="920"/>
      <c r="E109" s="45">
        <f>'Uniformes e EPI''s'!H39</f>
        <v>0</v>
      </c>
      <c r="F109" s="47">
        <v>1</v>
      </c>
      <c r="G109" s="103">
        <f>ROUND((E109*F109),2)</f>
        <v>0</v>
      </c>
      <c r="H109" s="36"/>
    </row>
    <row r="110" spans="1:8" s="35" customFormat="1" x14ac:dyDescent="0.2">
      <c r="A110" s="37" t="s">
        <v>30</v>
      </c>
      <c r="B110" s="919" t="s">
        <v>59</v>
      </c>
      <c r="C110" s="920"/>
      <c r="D110" s="920"/>
      <c r="E110" s="45">
        <v>0</v>
      </c>
      <c r="F110" s="48">
        <v>1</v>
      </c>
      <c r="G110" s="103">
        <f t="shared" ref="G110:G115" si="3">ROUND((E110*F110),2)</f>
        <v>0</v>
      </c>
      <c r="H110" s="36"/>
    </row>
    <row r="111" spans="1:8" s="35" customFormat="1" x14ac:dyDescent="0.2">
      <c r="A111" s="165" t="s">
        <v>31</v>
      </c>
      <c r="B111" s="919" t="s">
        <v>59</v>
      </c>
      <c r="C111" s="920"/>
      <c r="D111" s="920"/>
      <c r="E111" s="45">
        <v>0</v>
      </c>
      <c r="F111" s="48">
        <v>1</v>
      </c>
      <c r="G111" s="103">
        <f t="shared" si="3"/>
        <v>0</v>
      </c>
      <c r="H111" s="36"/>
    </row>
    <row r="112" spans="1:8" s="35" customFormat="1" x14ac:dyDescent="0.2">
      <c r="A112" s="37" t="s">
        <v>32</v>
      </c>
      <c r="B112" s="919" t="s">
        <v>59</v>
      </c>
      <c r="C112" s="920"/>
      <c r="D112" s="920"/>
      <c r="E112" s="45">
        <v>0</v>
      </c>
      <c r="F112" s="48">
        <v>1</v>
      </c>
      <c r="G112" s="103">
        <f t="shared" si="3"/>
        <v>0</v>
      </c>
      <c r="H112" s="36"/>
    </row>
    <row r="113" spans="1:8" s="35" customFormat="1" x14ac:dyDescent="0.2">
      <c r="A113" s="37" t="s">
        <v>34</v>
      </c>
      <c r="B113" s="919" t="s">
        <v>59</v>
      </c>
      <c r="C113" s="920"/>
      <c r="D113" s="920"/>
      <c r="E113" s="45">
        <v>0</v>
      </c>
      <c r="F113" s="48">
        <v>1</v>
      </c>
      <c r="G113" s="103">
        <f t="shared" si="3"/>
        <v>0</v>
      </c>
      <c r="H113" s="36"/>
    </row>
    <row r="114" spans="1:8" s="35" customFormat="1" x14ac:dyDescent="0.2">
      <c r="A114" s="165" t="s">
        <v>48</v>
      </c>
      <c r="B114" s="919" t="s">
        <v>59</v>
      </c>
      <c r="C114" s="920"/>
      <c r="D114" s="920"/>
      <c r="E114" s="45">
        <v>0</v>
      </c>
      <c r="F114" s="48">
        <v>1</v>
      </c>
      <c r="G114" s="103">
        <f t="shared" si="3"/>
        <v>0</v>
      </c>
      <c r="H114" s="36"/>
    </row>
    <row r="115" spans="1:8" s="35" customFormat="1" x14ac:dyDescent="0.2">
      <c r="A115" s="37" t="s">
        <v>50</v>
      </c>
      <c r="B115" s="968" t="s">
        <v>59</v>
      </c>
      <c r="C115" s="969"/>
      <c r="D115" s="969"/>
      <c r="E115" s="45">
        <v>0</v>
      </c>
      <c r="F115" s="48">
        <v>1</v>
      </c>
      <c r="G115" s="103">
        <f t="shared" si="3"/>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197.9</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197.9</v>
      </c>
      <c r="H127" s="4">
        <f ca="1">ROUND(G139*F127,2)</f>
        <v>197.9</v>
      </c>
    </row>
    <row r="128" spans="1:8" x14ac:dyDescent="0.2">
      <c r="A128" s="936" t="s">
        <v>104</v>
      </c>
      <c r="B128" s="937"/>
      <c r="C128" s="937"/>
      <c r="D128" s="937"/>
      <c r="E128" s="937"/>
      <c r="F128" s="23">
        <f>SUM(F119,F120,F127)</f>
        <v>0.05</v>
      </c>
      <c r="G128" s="126">
        <f ca="1">SUM(G119:G126)</f>
        <v>197.9</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2035.99</v>
      </c>
      <c r="H130" s="4"/>
    </row>
    <row r="131" spans="1:8" x14ac:dyDescent="0.2">
      <c r="A131" s="121" t="s">
        <v>29</v>
      </c>
      <c r="B131" s="927" t="s">
        <v>107</v>
      </c>
      <c r="C131" s="928"/>
      <c r="D131" s="928"/>
      <c r="E131" s="928"/>
      <c r="F131" s="929"/>
      <c r="G131" s="122">
        <f>G68</f>
        <v>1724.13</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3760.12</v>
      </c>
      <c r="H135" s="4"/>
    </row>
    <row r="136" spans="1:8" x14ac:dyDescent="0.2">
      <c r="A136" s="121" t="s">
        <v>34</v>
      </c>
      <c r="B136" s="933" t="s">
        <v>112</v>
      </c>
      <c r="C136" s="934"/>
      <c r="D136" s="934"/>
      <c r="E136" s="934"/>
      <c r="F136" s="935"/>
      <c r="G136" s="122">
        <f ca="1">G128</f>
        <v>197.9</v>
      </c>
      <c r="H136" s="4"/>
    </row>
    <row r="137" spans="1:8" x14ac:dyDescent="0.2">
      <c r="A137" s="936" t="s">
        <v>113</v>
      </c>
      <c r="B137" s="937"/>
      <c r="C137" s="937"/>
      <c r="D137" s="937"/>
      <c r="E137" s="937"/>
      <c r="F137" s="938"/>
      <c r="G137" s="105">
        <f ca="1">SUM(G135:G136)</f>
        <v>3958.02</v>
      </c>
      <c r="H137" s="4">
        <f ca="1">SUM(G130:G136)-G135</f>
        <v>3958.02</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3958.02</v>
      </c>
      <c r="H139" s="4"/>
    </row>
    <row r="140" spans="1:8" x14ac:dyDescent="0.2">
      <c r="A140" s="766"/>
      <c r="B140" s="767" t="s">
        <v>115</v>
      </c>
      <c r="C140" s="767"/>
      <c r="D140" s="767"/>
      <c r="E140" s="767"/>
      <c r="F140" s="768">
        <f>F21</f>
        <v>1</v>
      </c>
      <c r="G140" s="769">
        <f ca="1">G139*F140</f>
        <v>3958.02</v>
      </c>
      <c r="H140" s="4"/>
    </row>
    <row r="141" spans="1:8" x14ac:dyDescent="0.2">
      <c r="F141" s="306"/>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488</v>
      </c>
      <c r="G7" s="1036"/>
    </row>
    <row r="8" spans="1:8" ht="19.5" customHeight="1" x14ac:dyDescent="0.2">
      <c r="A8" s="1040" t="s">
        <v>215</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t="s">
        <v>465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414</v>
      </c>
      <c r="G16" s="1017"/>
      <c r="H16" s="3"/>
    </row>
    <row r="17" spans="1:8" ht="14.1" customHeight="1" x14ac:dyDescent="0.2">
      <c r="A17" s="1000" t="s">
        <v>21</v>
      </c>
      <c r="B17" s="1001"/>
      <c r="C17" s="1001"/>
      <c r="D17" s="1001"/>
      <c r="E17" s="1002"/>
      <c r="F17" s="1016" t="s">
        <v>415</v>
      </c>
      <c r="G17" s="1017"/>
      <c r="H17" s="3"/>
    </row>
    <row r="18" spans="1:8" ht="14.1" customHeight="1" x14ac:dyDescent="0.2">
      <c r="A18" s="1000" t="s">
        <v>1</v>
      </c>
      <c r="B18" s="1001"/>
      <c r="C18" s="1001"/>
      <c r="D18" s="1001"/>
      <c r="E18" s="1002"/>
      <c r="F18" s="1010">
        <v>1951.37</v>
      </c>
      <c r="G18" s="1011"/>
    </row>
    <row r="19" spans="1:8" ht="14.1" customHeight="1" x14ac:dyDescent="0.2">
      <c r="A19" s="1005" t="s">
        <v>8</v>
      </c>
      <c r="B19" s="1006"/>
      <c r="C19" s="1006"/>
      <c r="D19" s="1006"/>
      <c r="E19" s="1007"/>
      <c r="F19" s="1012">
        <v>45717</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1" customHeight="1" x14ac:dyDescent="0.2">
      <c r="A24" s="1046" t="s">
        <v>487</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1951.37</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0.2</v>
      </c>
      <c r="G29" s="103">
        <f>ROUND(F15*F29,2)</f>
        <v>303.60000000000002</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2254.9699999999998</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187.84</v>
      </c>
      <c r="H37" s="54"/>
    </row>
    <row r="38" spans="1:8" x14ac:dyDescent="0.2">
      <c r="A38" s="108" t="s">
        <v>29</v>
      </c>
      <c r="B38" s="977" t="s">
        <v>157</v>
      </c>
      <c r="C38" s="978"/>
      <c r="D38" s="978"/>
      <c r="E38" s="990"/>
      <c r="F38" s="109">
        <f>ROUND((1/11)+(1/11)/3, 3)</f>
        <v>0.121</v>
      </c>
      <c r="G38" s="8">
        <f>ROUND(G$34*F38,2)</f>
        <v>272.85000000000002</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155.82</v>
      </c>
      <c r="H40" s="4"/>
    </row>
    <row r="41" spans="1:8" x14ac:dyDescent="0.2">
      <c r="A41" s="963" t="s">
        <v>41</v>
      </c>
      <c r="B41" s="964"/>
      <c r="C41" s="964"/>
      <c r="D41" s="964"/>
      <c r="E41" s="962"/>
      <c r="F41" s="42">
        <f>ROUND(SUM(F39:F40),4)</f>
        <v>0.27339999999999998</v>
      </c>
      <c r="G41" s="112">
        <f>SUM(G37:G40)</f>
        <v>616.51</v>
      </c>
      <c r="H41" s="4">
        <f>ROUND(G34*F41,2)</f>
        <v>616.51</v>
      </c>
    </row>
    <row r="42" spans="1:8" x14ac:dyDescent="0.2">
      <c r="A42" s="956" t="s">
        <v>118</v>
      </c>
      <c r="B42" s="957"/>
      <c r="C42" s="957"/>
      <c r="D42" s="957"/>
      <c r="E42" s="957"/>
      <c r="F42" s="957"/>
      <c r="G42" s="958"/>
      <c r="H42" s="4">
        <f>SUM(G41,G34)</f>
        <v>2871.48</v>
      </c>
    </row>
    <row r="43" spans="1:8" x14ac:dyDescent="0.2">
      <c r="A43" s="43" t="s">
        <v>28</v>
      </c>
      <c r="B43" s="959" t="s">
        <v>42</v>
      </c>
      <c r="C43" s="960"/>
      <c r="D43" s="960"/>
      <c r="E43" s="992"/>
      <c r="F43" s="44">
        <v>0.2</v>
      </c>
      <c r="G43" s="22">
        <f>ROUND((G$34)*F43,2)</f>
        <v>450.99</v>
      </c>
      <c r="H43" s="4"/>
    </row>
    <row r="44" spans="1:8" x14ac:dyDescent="0.2">
      <c r="A44" s="37" t="s">
        <v>29</v>
      </c>
      <c r="B44" s="975" t="s">
        <v>43</v>
      </c>
      <c r="C44" s="976"/>
      <c r="D44" s="976"/>
      <c r="E44" s="989"/>
      <c r="F44" s="106">
        <v>2.5000000000000001E-2</v>
      </c>
      <c r="G44" s="113">
        <f>ROUND((G$34)*F44,2)</f>
        <v>56.37</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33.82</v>
      </c>
      <c r="H46" s="4"/>
    </row>
    <row r="47" spans="1:8" x14ac:dyDescent="0.2">
      <c r="A47" s="37" t="s">
        <v>32</v>
      </c>
      <c r="B47" s="975" t="s">
        <v>46</v>
      </c>
      <c r="C47" s="976"/>
      <c r="D47" s="976"/>
      <c r="E47" s="989"/>
      <c r="F47" s="106">
        <v>0.01</v>
      </c>
      <c r="G47" s="113">
        <f t="shared" si="0"/>
        <v>22.55</v>
      </c>
      <c r="H47" s="4"/>
    </row>
    <row r="48" spans="1:8" x14ac:dyDescent="0.2">
      <c r="A48" s="37" t="s">
        <v>34</v>
      </c>
      <c r="B48" s="975" t="s">
        <v>47</v>
      </c>
      <c r="C48" s="976"/>
      <c r="D48" s="976"/>
      <c r="E48" s="989"/>
      <c r="F48" s="106">
        <v>6.0000000000000001E-3</v>
      </c>
      <c r="G48" s="113">
        <f t="shared" si="0"/>
        <v>13.53</v>
      </c>
      <c r="H48" s="4"/>
    </row>
    <row r="49" spans="1:8" x14ac:dyDescent="0.2">
      <c r="A49" s="37" t="s">
        <v>48</v>
      </c>
      <c r="B49" s="975" t="s">
        <v>49</v>
      </c>
      <c r="C49" s="976"/>
      <c r="D49" s="976"/>
      <c r="E49" s="989"/>
      <c r="F49" s="106">
        <v>2E-3</v>
      </c>
      <c r="G49" s="113">
        <f t="shared" si="0"/>
        <v>4.51</v>
      </c>
      <c r="H49" s="4"/>
    </row>
    <row r="50" spans="1:8" x14ac:dyDescent="0.2">
      <c r="A50" s="108" t="s">
        <v>50</v>
      </c>
      <c r="B50" s="977" t="s">
        <v>51</v>
      </c>
      <c r="C50" s="978"/>
      <c r="D50" s="978"/>
      <c r="E50" s="990"/>
      <c r="F50" s="109">
        <v>0.08</v>
      </c>
      <c r="G50" s="113">
        <f t="shared" si="0"/>
        <v>180.4</v>
      </c>
      <c r="H50" s="4"/>
    </row>
    <row r="51" spans="1:8" x14ac:dyDescent="0.2">
      <c r="A51" s="963" t="s">
        <v>52</v>
      </c>
      <c r="B51" s="964"/>
      <c r="C51" s="964"/>
      <c r="D51" s="964"/>
      <c r="E51" s="962"/>
      <c r="F51" s="42">
        <f>SUM(F43:F50)</f>
        <v>0.33800000000000002</v>
      </c>
      <c r="G51" s="112">
        <f>SUM(G43:G50)</f>
        <v>762.17</v>
      </c>
      <c r="H51" s="4">
        <f>ROUND(G34*F51,2)</f>
        <v>762.18</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55</v>
      </c>
      <c r="B54" s="981" t="s">
        <v>56</v>
      </c>
      <c r="C54" s="982"/>
      <c r="D54" s="982"/>
      <c r="E54" s="115">
        <f>(12.5-1.4)</f>
        <v>11.1</v>
      </c>
      <c r="F54" s="116">
        <v>21</v>
      </c>
      <c r="G54" s="103">
        <f>ROUND((E54*F54),2)</f>
        <v>233.1</v>
      </c>
      <c r="H54" s="36"/>
    </row>
    <row r="55" spans="1:8" s="35" customFormat="1" x14ac:dyDescent="0.2">
      <c r="A55" s="37" t="s">
        <v>57</v>
      </c>
      <c r="B55" s="981" t="s">
        <v>58</v>
      </c>
      <c r="C55" s="982"/>
      <c r="D55" s="982"/>
      <c r="E55" s="115">
        <f>138.6</f>
        <v>138.6</v>
      </c>
      <c r="F55" s="116">
        <v>1</v>
      </c>
      <c r="G55" s="103">
        <f>ROUND((E55*F55),2)</f>
        <v>138.6</v>
      </c>
      <c r="H55" s="36"/>
    </row>
    <row r="56" spans="1:8" s="35" customFormat="1" x14ac:dyDescent="0.2">
      <c r="A56" s="37" t="s">
        <v>30</v>
      </c>
      <c r="B56" s="981" t="s">
        <v>255</v>
      </c>
      <c r="C56" s="982"/>
      <c r="D56" s="982"/>
      <c r="E56" s="115">
        <v>34.94</v>
      </c>
      <c r="F56" s="116">
        <v>1</v>
      </c>
      <c r="G56" s="103">
        <f>ROUND((E56*F56),2)</f>
        <v>34.94</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217</v>
      </c>
      <c r="C58" s="982"/>
      <c r="D58" s="982"/>
      <c r="E58" s="115">
        <f>ROUND(((F18/220)*8)*1.5,2)</f>
        <v>106.44</v>
      </c>
      <c r="F58" s="116">
        <v>1</v>
      </c>
      <c r="G58" s="103">
        <f>ROUND((E58*F58)/12,2)</f>
        <v>8.8699999999999992</v>
      </c>
      <c r="H58" s="36"/>
    </row>
    <row r="59" spans="1:8" s="35" customFormat="1" x14ac:dyDescent="0.2">
      <c r="A59" s="37" t="s">
        <v>34</v>
      </c>
      <c r="B59" s="987" t="s">
        <v>180</v>
      </c>
      <c r="C59" s="988"/>
      <c r="D59" s="988"/>
      <c r="E59" s="115">
        <f>9.31</f>
        <v>9.31</v>
      </c>
      <c r="F59" s="117">
        <v>1</v>
      </c>
      <c r="G59" s="118">
        <f>ROUND((E59*F59),2)</f>
        <v>9.31</v>
      </c>
      <c r="H59" s="36"/>
    </row>
    <row r="60" spans="1:8" s="35" customFormat="1" x14ac:dyDescent="0.2">
      <c r="A60" s="37" t="s">
        <v>48</v>
      </c>
      <c r="B60" s="981" t="s">
        <v>152</v>
      </c>
      <c r="C60" s="982"/>
      <c r="D60" s="982"/>
      <c r="E60" s="115">
        <v>0</v>
      </c>
      <c r="F60" s="116">
        <v>1</v>
      </c>
      <c r="G60" s="119">
        <f>ROUND((E60*F60),2)</f>
        <v>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424.82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616.51</v>
      </c>
      <c r="H65" s="4"/>
    </row>
    <row r="66" spans="1:8" x14ac:dyDescent="0.2">
      <c r="A66" s="121" t="s">
        <v>64</v>
      </c>
      <c r="B66" s="927" t="s">
        <v>128</v>
      </c>
      <c r="C66" s="928"/>
      <c r="D66" s="928"/>
      <c r="E66" s="928"/>
      <c r="F66" s="18">
        <f>F51</f>
        <v>0.33800000000000002</v>
      </c>
      <c r="G66" s="122">
        <f>G51</f>
        <v>762.17</v>
      </c>
      <c r="H66" s="4"/>
    </row>
    <row r="67" spans="1:8" x14ac:dyDescent="0.2">
      <c r="A67" s="121" t="s">
        <v>65</v>
      </c>
      <c r="B67" s="927" t="s">
        <v>66</v>
      </c>
      <c r="C67" s="928"/>
      <c r="D67" s="928"/>
      <c r="E67" s="928"/>
      <c r="F67" s="929"/>
      <c r="G67" s="122">
        <f>G63</f>
        <v>424.82</v>
      </c>
      <c r="H67" s="4"/>
    </row>
    <row r="68" spans="1:8" x14ac:dyDescent="0.2">
      <c r="A68" s="936" t="s">
        <v>67</v>
      </c>
      <c r="B68" s="937"/>
      <c r="C68" s="937"/>
      <c r="D68" s="937"/>
      <c r="E68" s="937"/>
      <c r="F68" s="938"/>
      <c r="G68" s="105">
        <f>SUM(G65:G67)</f>
        <v>1803.5</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ROUND((E108*F108),2)</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 t="shared" ref="G110:G115" si="3">ROUND((E110*F110),2)</f>
        <v>0</v>
      </c>
      <c r="H110" s="36"/>
    </row>
    <row r="111" spans="1:8" s="35" customFormat="1" x14ac:dyDescent="0.2">
      <c r="A111" s="165" t="s">
        <v>31</v>
      </c>
      <c r="B111" s="919" t="s">
        <v>59</v>
      </c>
      <c r="C111" s="920"/>
      <c r="D111" s="920"/>
      <c r="E111" s="45">
        <v>0</v>
      </c>
      <c r="F111" s="48">
        <v>1</v>
      </c>
      <c r="G111" s="103">
        <f t="shared" si="3"/>
        <v>0</v>
      </c>
      <c r="H111" s="36"/>
    </row>
    <row r="112" spans="1:8" s="35" customFormat="1" x14ac:dyDescent="0.2">
      <c r="A112" s="37" t="s">
        <v>32</v>
      </c>
      <c r="B112" s="919" t="s">
        <v>59</v>
      </c>
      <c r="C112" s="920"/>
      <c r="D112" s="920"/>
      <c r="E112" s="45">
        <v>0</v>
      </c>
      <c r="F112" s="48">
        <v>1</v>
      </c>
      <c r="G112" s="103">
        <f t="shared" si="3"/>
        <v>0</v>
      </c>
      <c r="H112" s="36"/>
    </row>
    <row r="113" spans="1:8" s="35" customFormat="1" x14ac:dyDescent="0.2">
      <c r="A113" s="37" t="s">
        <v>34</v>
      </c>
      <c r="B113" s="919" t="s">
        <v>59</v>
      </c>
      <c r="C113" s="920"/>
      <c r="D113" s="920"/>
      <c r="E113" s="45">
        <v>0</v>
      </c>
      <c r="F113" s="48">
        <v>1</v>
      </c>
      <c r="G113" s="103">
        <f t="shared" si="3"/>
        <v>0</v>
      </c>
      <c r="H113" s="36"/>
    </row>
    <row r="114" spans="1:8" s="35" customFormat="1" x14ac:dyDescent="0.2">
      <c r="A114" s="165" t="s">
        <v>48</v>
      </c>
      <c r="B114" s="919" t="s">
        <v>59</v>
      </c>
      <c r="C114" s="920"/>
      <c r="D114" s="920"/>
      <c r="E114" s="45">
        <v>0</v>
      </c>
      <c r="F114" s="48">
        <v>1</v>
      </c>
      <c r="G114" s="103">
        <f t="shared" si="3"/>
        <v>0</v>
      </c>
      <c r="H114" s="36"/>
    </row>
    <row r="115" spans="1:8" s="35" customFormat="1" x14ac:dyDescent="0.2">
      <c r="A115" s="37" t="s">
        <v>50</v>
      </c>
      <c r="B115" s="968" t="s">
        <v>59</v>
      </c>
      <c r="C115" s="969"/>
      <c r="D115" s="969"/>
      <c r="E115" s="45">
        <v>0</v>
      </c>
      <c r="F115" s="48">
        <v>1</v>
      </c>
      <c r="G115" s="103">
        <f t="shared" si="3"/>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213.6</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213.6</v>
      </c>
      <c r="H127" s="4">
        <f ca="1">ROUND(G139*F127,2)</f>
        <v>213.6</v>
      </c>
    </row>
    <row r="128" spans="1:8" x14ac:dyDescent="0.2">
      <c r="A128" s="936" t="s">
        <v>104</v>
      </c>
      <c r="B128" s="937"/>
      <c r="C128" s="937"/>
      <c r="D128" s="937"/>
      <c r="E128" s="937"/>
      <c r="F128" s="23">
        <f>SUM(F119,F120,F127)</f>
        <v>0.05</v>
      </c>
      <c r="G128" s="126">
        <f ca="1">SUM(G119:G126)</f>
        <v>213.6</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2254.9699999999998</v>
      </c>
      <c r="H130" s="4"/>
    </row>
    <row r="131" spans="1:8" x14ac:dyDescent="0.2">
      <c r="A131" s="121" t="s">
        <v>29</v>
      </c>
      <c r="B131" s="927" t="s">
        <v>107</v>
      </c>
      <c r="C131" s="928"/>
      <c r="D131" s="928"/>
      <c r="E131" s="928"/>
      <c r="F131" s="929"/>
      <c r="G131" s="122">
        <f>G68</f>
        <v>1803.5</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4058.47</v>
      </c>
      <c r="H135" s="4"/>
    </row>
    <row r="136" spans="1:8" x14ac:dyDescent="0.2">
      <c r="A136" s="121" t="s">
        <v>34</v>
      </c>
      <c r="B136" s="933" t="s">
        <v>112</v>
      </c>
      <c r="C136" s="934"/>
      <c r="D136" s="934"/>
      <c r="E136" s="934"/>
      <c r="F136" s="935"/>
      <c r="G136" s="122">
        <f ca="1">G128</f>
        <v>213.6</v>
      </c>
      <c r="H136" s="4"/>
    </row>
    <row r="137" spans="1:8" x14ac:dyDescent="0.2">
      <c r="A137" s="936" t="s">
        <v>113</v>
      </c>
      <c r="B137" s="937"/>
      <c r="C137" s="937"/>
      <c r="D137" s="937"/>
      <c r="E137" s="937"/>
      <c r="F137" s="938"/>
      <c r="G137" s="105">
        <f ca="1">SUM(G135:G136)</f>
        <v>4272.07</v>
      </c>
      <c r="H137" s="4">
        <f ca="1">SUM(G130:G136)-G135</f>
        <v>4272.07</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4272.07</v>
      </c>
      <c r="H139" s="4"/>
    </row>
    <row r="140" spans="1:8" x14ac:dyDescent="0.2">
      <c r="A140" s="766"/>
      <c r="B140" s="767" t="s">
        <v>115</v>
      </c>
      <c r="C140" s="767"/>
      <c r="D140" s="767"/>
      <c r="E140" s="767"/>
      <c r="F140" s="768">
        <f>F21</f>
        <v>1</v>
      </c>
      <c r="G140" s="769">
        <f ca="1">G139*F140</f>
        <v>4272.07</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I151"/>
  <sheetViews>
    <sheetView view="pageBreakPreview" topLeftCell="A109"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220" t="s">
        <v>425</v>
      </c>
      <c r="B2" s="1221"/>
      <c r="C2" s="1221"/>
      <c r="D2" s="2"/>
      <c r="E2" s="2"/>
      <c r="F2" s="1222" t="s">
        <v>477</v>
      </c>
      <c r="G2" s="1223"/>
    </row>
    <row r="3" spans="1:8" ht="18" customHeight="1" x14ac:dyDescent="0.2">
      <c r="A3" s="1224" t="s">
        <v>392</v>
      </c>
      <c r="B3" s="1026"/>
      <c r="C3" s="1026"/>
      <c r="D3" s="1026"/>
      <c r="E3" s="1026"/>
      <c r="F3" s="1026"/>
      <c r="G3" s="1027"/>
    </row>
    <row r="4" spans="1:8" ht="18" customHeight="1" thickBot="1" x14ac:dyDescent="0.25">
      <c r="A4" s="1225"/>
      <c r="B4" s="1226"/>
      <c r="C4" s="1226"/>
      <c r="D4" s="1226"/>
      <c r="E4" s="1226"/>
      <c r="F4" s="1226"/>
      <c r="G4" s="1227"/>
    </row>
    <row r="5" spans="1:8" ht="14.1" customHeight="1" x14ac:dyDescent="0.2">
      <c r="A5" s="1228" t="s">
        <v>5</v>
      </c>
      <c r="B5" s="1229"/>
      <c r="C5" s="1229"/>
      <c r="D5" s="1229"/>
      <c r="E5" s="1229"/>
      <c r="F5" s="1230"/>
      <c r="G5" s="1231"/>
    </row>
    <row r="6" spans="1:8" ht="12.75" customHeight="1" x14ac:dyDescent="0.2">
      <c r="A6" s="1191" t="s">
        <v>16</v>
      </c>
      <c r="B6" s="1192"/>
      <c r="C6" s="1192"/>
      <c r="D6" s="1192"/>
      <c r="E6" s="1193"/>
      <c r="F6" s="1198"/>
      <c r="G6" s="1199"/>
    </row>
    <row r="7" spans="1:8" ht="14.1" customHeight="1" x14ac:dyDescent="0.2">
      <c r="A7" s="1191" t="s">
        <v>11</v>
      </c>
      <c r="B7" s="1192"/>
      <c r="C7" s="1192"/>
      <c r="D7" s="1192"/>
      <c r="E7" s="1193"/>
      <c r="F7" s="1215" t="s">
        <v>488</v>
      </c>
      <c r="G7" s="1199"/>
    </row>
    <row r="8" spans="1:8" ht="19.5" customHeight="1" x14ac:dyDescent="0.2">
      <c r="A8" s="1216" t="s">
        <v>146</v>
      </c>
      <c r="B8" s="1041"/>
      <c r="C8" s="1041"/>
      <c r="D8" s="1041"/>
      <c r="E8" s="1041"/>
      <c r="F8" s="1041"/>
      <c r="G8" s="1217"/>
    </row>
    <row r="9" spans="1:8" ht="19.5" customHeight="1" x14ac:dyDescent="0.2">
      <c r="A9" s="1218"/>
      <c r="B9" s="1044"/>
      <c r="C9" s="1044"/>
      <c r="D9" s="1044"/>
      <c r="E9" s="1044"/>
      <c r="F9" s="1044"/>
      <c r="G9" s="1219"/>
    </row>
    <row r="10" spans="1:8" ht="14.1" customHeight="1" x14ac:dyDescent="0.2">
      <c r="A10" s="1201" t="s">
        <v>17</v>
      </c>
      <c r="B10" s="1202"/>
      <c r="C10" s="1202"/>
      <c r="D10" s="1202"/>
      <c r="E10" s="1203"/>
      <c r="F10" s="1211">
        <v>2025</v>
      </c>
      <c r="G10" s="1212"/>
    </row>
    <row r="11" spans="1:8" ht="14.1" customHeight="1" x14ac:dyDescent="0.2">
      <c r="A11" s="1201" t="s">
        <v>18</v>
      </c>
      <c r="B11" s="1202"/>
      <c r="C11" s="1202"/>
      <c r="D11" s="1202"/>
      <c r="E11" s="1203"/>
      <c r="F11" s="1211" t="s">
        <v>394</v>
      </c>
      <c r="G11" s="1212"/>
    </row>
    <row r="12" spans="1:8" ht="14.1" customHeight="1" x14ac:dyDescent="0.2">
      <c r="A12" s="1201" t="s">
        <v>19</v>
      </c>
      <c r="B12" s="1202"/>
      <c r="C12" s="1202"/>
      <c r="D12" s="1202"/>
      <c r="E12" s="1203"/>
      <c r="F12" s="1211" t="s">
        <v>20</v>
      </c>
      <c r="G12" s="1212"/>
    </row>
    <row r="13" spans="1:8" ht="14.1" customHeight="1" x14ac:dyDescent="0.2">
      <c r="A13" s="1201" t="s">
        <v>10</v>
      </c>
      <c r="B13" s="1202"/>
      <c r="C13" s="1202"/>
      <c r="D13" s="1202"/>
      <c r="E13" s="1203"/>
      <c r="F13" s="1211" t="s">
        <v>9</v>
      </c>
      <c r="G13" s="1212"/>
    </row>
    <row r="14" spans="1:8" ht="14.1" customHeight="1" x14ac:dyDescent="0.2">
      <c r="A14" s="1138" t="s">
        <v>6</v>
      </c>
      <c r="B14" s="1139"/>
      <c r="C14" s="1139"/>
      <c r="D14" s="1139"/>
      <c r="E14" s="1139"/>
      <c r="F14" s="1140"/>
      <c r="G14" s="1141"/>
    </row>
    <row r="15" spans="1:8" ht="14.1" customHeight="1" x14ac:dyDescent="0.2">
      <c r="A15" s="1201" t="s">
        <v>7</v>
      </c>
      <c r="B15" s="1202"/>
      <c r="C15" s="1202"/>
      <c r="D15" s="1202"/>
      <c r="E15" s="1203"/>
      <c r="F15" s="1213">
        <v>1518</v>
      </c>
      <c r="G15" s="1214"/>
    </row>
    <row r="16" spans="1:8" ht="14.1" customHeight="1" x14ac:dyDescent="0.2">
      <c r="A16" s="1201" t="s">
        <v>0</v>
      </c>
      <c r="B16" s="1202"/>
      <c r="C16" s="1202"/>
      <c r="D16" s="1202"/>
      <c r="E16" s="1203"/>
      <c r="F16" s="1205" t="s">
        <v>395</v>
      </c>
      <c r="G16" s="1206"/>
      <c r="H16" s="3"/>
    </row>
    <row r="17" spans="1:8" ht="14.1" customHeight="1" x14ac:dyDescent="0.2">
      <c r="A17" s="1201" t="s">
        <v>21</v>
      </c>
      <c r="B17" s="1202"/>
      <c r="C17" s="1202"/>
      <c r="D17" s="1202"/>
      <c r="E17" s="1203"/>
      <c r="F17" s="1207" t="s">
        <v>396</v>
      </c>
      <c r="G17" s="1208"/>
      <c r="H17" s="3"/>
    </row>
    <row r="18" spans="1:8" ht="14.1" customHeight="1" x14ac:dyDescent="0.2">
      <c r="A18" s="1201" t="s">
        <v>1</v>
      </c>
      <c r="B18" s="1202"/>
      <c r="C18" s="1202"/>
      <c r="D18" s="1202"/>
      <c r="E18" s="1203"/>
      <c r="F18" s="1209">
        <v>1766.58</v>
      </c>
      <c r="G18" s="1210"/>
    </row>
    <row r="19" spans="1:8" ht="14.1" customHeight="1" x14ac:dyDescent="0.2">
      <c r="A19" s="1191" t="s">
        <v>8</v>
      </c>
      <c r="B19" s="1192"/>
      <c r="C19" s="1192"/>
      <c r="D19" s="1192"/>
      <c r="E19" s="1193"/>
      <c r="F19" s="1200">
        <v>45658</v>
      </c>
      <c r="G19" s="1013"/>
    </row>
    <row r="20" spans="1:8" ht="14.1" customHeight="1" x14ac:dyDescent="0.2">
      <c r="A20" s="1201" t="s">
        <v>22</v>
      </c>
      <c r="B20" s="1202"/>
      <c r="C20" s="1202"/>
      <c r="D20" s="1202"/>
      <c r="E20" s="1203"/>
      <c r="F20" s="1204" t="s">
        <v>140</v>
      </c>
      <c r="G20" s="1004"/>
    </row>
    <row r="21" spans="1:8" ht="14.1" customHeight="1" x14ac:dyDescent="0.2">
      <c r="A21" s="1191" t="s">
        <v>23</v>
      </c>
      <c r="B21" s="1192"/>
      <c r="C21" s="1192"/>
      <c r="D21" s="1192"/>
      <c r="E21" s="1193"/>
      <c r="F21" s="1194">
        <v>1</v>
      </c>
      <c r="G21" s="1009"/>
    </row>
    <row r="22" spans="1:8" ht="14.1" customHeight="1" x14ac:dyDescent="0.2">
      <c r="A22" s="1191" t="s">
        <v>24</v>
      </c>
      <c r="B22" s="1192"/>
      <c r="C22" s="1192"/>
      <c r="D22" s="1192"/>
      <c r="E22" s="1193"/>
      <c r="F22" s="1194">
        <v>1</v>
      </c>
      <c r="G22" s="1009"/>
    </row>
    <row r="23" spans="1:8" ht="12.75" customHeight="1" x14ac:dyDescent="0.2">
      <c r="A23" s="1191" t="s">
        <v>25</v>
      </c>
      <c r="B23" s="1192"/>
      <c r="C23" s="1192"/>
      <c r="D23" s="1192"/>
      <c r="E23" s="1193"/>
      <c r="F23" s="1195" t="s">
        <v>214</v>
      </c>
      <c r="G23" s="1196"/>
    </row>
    <row r="24" spans="1:8" ht="21" customHeight="1" x14ac:dyDescent="0.2">
      <c r="A24" s="1197" t="s">
        <v>494</v>
      </c>
      <c r="B24" s="1198"/>
      <c r="C24" s="1198"/>
      <c r="D24" s="1198"/>
      <c r="E24" s="1198"/>
      <c r="F24" s="1198"/>
      <c r="G24" s="1199"/>
    </row>
    <row r="25" spans="1:8" x14ac:dyDescent="0.2">
      <c r="A25" s="1138" t="s">
        <v>2</v>
      </c>
      <c r="B25" s="1139"/>
      <c r="C25" s="1139"/>
      <c r="D25" s="1139"/>
      <c r="E25" s="1139"/>
      <c r="F25" s="1140"/>
      <c r="G25" s="1141"/>
    </row>
    <row r="26" spans="1:8" x14ac:dyDescent="0.2">
      <c r="A26" s="632">
        <v>1</v>
      </c>
      <c r="B26" s="1189" t="s">
        <v>26</v>
      </c>
      <c r="C26" s="1189"/>
      <c r="D26" s="1189"/>
      <c r="E26" s="1189"/>
      <c r="F26" s="633" t="s">
        <v>27</v>
      </c>
      <c r="G26" s="634" t="s">
        <v>3</v>
      </c>
    </row>
    <row r="27" spans="1:8" x14ac:dyDescent="0.2">
      <c r="A27" s="319" t="s">
        <v>28</v>
      </c>
      <c r="B27" s="1190" t="s">
        <v>397</v>
      </c>
      <c r="C27" s="1190"/>
      <c r="D27" s="1190"/>
      <c r="E27" s="1190"/>
      <c r="F27" s="269">
        <v>1</v>
      </c>
      <c r="G27" s="270">
        <f>F18*F27</f>
        <v>1766.58</v>
      </c>
      <c r="H27" s="271"/>
    </row>
    <row r="28" spans="1:8" x14ac:dyDescent="0.2">
      <c r="A28" s="319" t="s">
        <v>29</v>
      </c>
      <c r="B28" s="1187" t="s">
        <v>117</v>
      </c>
      <c r="C28" s="1187"/>
      <c r="D28" s="1187"/>
      <c r="E28" s="1187"/>
      <c r="F28" s="272">
        <v>0</v>
      </c>
      <c r="G28" s="270">
        <f>ROUND(G27*F28,2)</f>
        <v>0</v>
      </c>
      <c r="H28" s="271"/>
    </row>
    <row r="29" spans="1:8" x14ac:dyDescent="0.2">
      <c r="A29" s="319" t="s">
        <v>30</v>
      </c>
      <c r="B29" s="1187" t="s">
        <v>15</v>
      </c>
      <c r="C29" s="1187"/>
      <c r="D29" s="1187"/>
      <c r="E29" s="1187"/>
      <c r="F29" s="272">
        <v>0.2</v>
      </c>
      <c r="G29" s="270">
        <f>ROUND(F15*F29,2)</f>
        <v>303.60000000000002</v>
      </c>
      <c r="H29" s="271"/>
    </row>
    <row r="30" spans="1:8" x14ac:dyDescent="0.2">
      <c r="A30" s="319" t="s">
        <v>31</v>
      </c>
      <c r="B30" s="1187" t="s">
        <v>154</v>
      </c>
      <c r="C30" s="1187"/>
      <c r="D30" s="1187"/>
      <c r="E30" s="1187"/>
      <c r="F30" s="269">
        <f>ROUND((ROUND((0*15.22),2)/52.5)*60,2)</f>
        <v>0</v>
      </c>
      <c r="G30" s="270">
        <f>ROUND(ROUND(ROUND((SUM(G27:G29)+G33)/220,2)*0.2,2)*F30,2)</f>
        <v>0</v>
      </c>
      <c r="H30" s="271"/>
    </row>
    <row r="31" spans="1:8" x14ac:dyDescent="0.2">
      <c r="A31" s="319" t="s">
        <v>32</v>
      </c>
      <c r="B31" s="1187" t="s">
        <v>33</v>
      </c>
      <c r="C31" s="1187"/>
      <c r="D31" s="1187"/>
      <c r="E31" s="1187"/>
      <c r="F31" s="269">
        <v>0</v>
      </c>
      <c r="G31" s="270"/>
      <c r="H31" s="271"/>
    </row>
    <row r="32" spans="1:8" x14ac:dyDescent="0.2">
      <c r="A32" s="319" t="s">
        <v>34</v>
      </c>
      <c r="B32" s="1187" t="s">
        <v>155</v>
      </c>
      <c r="C32" s="1187"/>
      <c r="D32" s="1187"/>
      <c r="E32" s="1187"/>
      <c r="F32" s="269">
        <f>ROUND(SUM(F30)/15.22*5,2)</f>
        <v>0</v>
      </c>
      <c r="G32" s="270">
        <f>ROUND(ROUND(ROUND((SUM(G27:G29)+G33)/220,2)*0.2,2)*F32,2)</f>
        <v>0</v>
      </c>
      <c r="H32" s="271"/>
    </row>
    <row r="33" spans="1:8" x14ac:dyDescent="0.2">
      <c r="A33" s="319" t="s">
        <v>48</v>
      </c>
      <c r="B33" s="1187" t="s">
        <v>156</v>
      </c>
      <c r="C33" s="1187"/>
      <c r="D33" s="1187"/>
      <c r="E33" s="1187"/>
      <c r="F33" s="272">
        <v>0</v>
      </c>
      <c r="G33" s="270">
        <f>ROUND(F18*F33,2)</f>
        <v>0</v>
      </c>
      <c r="H33" s="271"/>
    </row>
    <row r="34" spans="1:8" x14ac:dyDescent="0.2">
      <c r="A34" s="1160" t="s">
        <v>35</v>
      </c>
      <c r="B34" s="1126"/>
      <c r="C34" s="1126"/>
      <c r="D34" s="1126"/>
      <c r="E34" s="1126"/>
      <c r="F34" s="1188"/>
      <c r="G34" s="635">
        <f>SUM(G27:G33)</f>
        <v>2070.1799999999998</v>
      </c>
    </row>
    <row r="35" spans="1:8" x14ac:dyDescent="0.2">
      <c r="A35" s="1138" t="s">
        <v>36</v>
      </c>
      <c r="B35" s="1139"/>
      <c r="C35" s="1139"/>
      <c r="D35" s="1139"/>
      <c r="E35" s="1139"/>
      <c r="F35" s="1140"/>
      <c r="G35" s="1141"/>
    </row>
    <row r="36" spans="1:8" x14ac:dyDescent="0.2">
      <c r="A36" s="1161" t="s">
        <v>37</v>
      </c>
      <c r="B36" s="1162"/>
      <c r="C36" s="1162"/>
      <c r="D36" s="1162"/>
      <c r="E36" s="1162"/>
      <c r="F36" s="1162"/>
      <c r="G36" s="1163"/>
      <c r="H36" s="4"/>
    </row>
    <row r="37" spans="1:8" s="7" customFormat="1" x14ac:dyDescent="0.2">
      <c r="A37" s="636" t="s">
        <v>28</v>
      </c>
      <c r="B37" s="1164" t="s">
        <v>38</v>
      </c>
      <c r="C37" s="960"/>
      <c r="D37" s="960"/>
      <c r="E37" s="1186"/>
      <c r="F37" s="273">
        <v>8.3299999999999999E-2</v>
      </c>
      <c r="G37" s="107">
        <f>ROUND(G$34*F37,2)</f>
        <v>172.45</v>
      </c>
      <c r="H37" s="475"/>
    </row>
    <row r="38" spans="1:8" x14ac:dyDescent="0.2">
      <c r="A38" s="108" t="s">
        <v>29</v>
      </c>
      <c r="B38" s="1174" t="s">
        <v>398</v>
      </c>
      <c r="C38" s="978"/>
      <c r="D38" s="978"/>
      <c r="E38" s="1184"/>
      <c r="F38" s="274">
        <f>ROUND((1/11)+(1/11)/3, 3)</f>
        <v>0.121</v>
      </c>
      <c r="G38" s="275">
        <f>ROUND(G$34*F38,2)</f>
        <v>250.49</v>
      </c>
      <c r="H38" s="4"/>
    </row>
    <row r="39" spans="1:8" x14ac:dyDescent="0.2">
      <c r="A39" s="637"/>
      <c r="B39" s="1185" t="s">
        <v>39</v>
      </c>
      <c r="C39" s="1185"/>
      <c r="D39" s="1185"/>
      <c r="E39" s="1185"/>
      <c r="F39" s="638">
        <f>SUM(F37:F38)</f>
        <v>0.20430000000000001</v>
      </c>
      <c r="G39" s="107"/>
      <c r="H39" s="4"/>
    </row>
    <row r="40" spans="1:8" x14ac:dyDescent="0.2">
      <c r="A40" s="639" t="s">
        <v>30</v>
      </c>
      <c r="B40" s="640" t="s">
        <v>40</v>
      </c>
      <c r="C40" s="641"/>
      <c r="D40" s="641"/>
      <c r="E40" s="641"/>
      <c r="F40" s="642">
        <f>ROUND((F51*F39),4)</f>
        <v>6.9099999999999995E-2</v>
      </c>
      <c r="G40" s="643">
        <f>ROUND(G$34*F40,2)</f>
        <v>143.05000000000001</v>
      </c>
      <c r="H40" s="4"/>
    </row>
    <row r="41" spans="1:8" x14ac:dyDescent="0.2">
      <c r="A41" s="1148" t="s">
        <v>41</v>
      </c>
      <c r="B41" s="1149"/>
      <c r="C41" s="1149"/>
      <c r="D41" s="1149"/>
      <c r="E41" s="1150"/>
      <c r="F41" s="644">
        <f>ROUND(SUM(F39:F40),4)</f>
        <v>0.27339999999999998</v>
      </c>
      <c r="G41" s="645">
        <f>SUM(G37:G40)</f>
        <v>565.99</v>
      </c>
      <c r="H41" s="4">
        <f>ROUND(G34*F41,2)</f>
        <v>565.99</v>
      </c>
    </row>
    <row r="42" spans="1:8" x14ac:dyDescent="0.2">
      <c r="A42" s="1161" t="s">
        <v>118</v>
      </c>
      <c r="B42" s="1162"/>
      <c r="C42" s="1162"/>
      <c r="D42" s="1162"/>
      <c r="E42" s="1162"/>
      <c r="F42" s="1162"/>
      <c r="G42" s="1163"/>
      <c r="H42" s="4"/>
    </row>
    <row r="43" spans="1:8" x14ac:dyDescent="0.2">
      <c r="A43" s="646" t="s">
        <v>28</v>
      </c>
      <c r="B43" s="1164" t="s">
        <v>42</v>
      </c>
      <c r="C43" s="960"/>
      <c r="D43" s="960"/>
      <c r="E43" s="1186"/>
      <c r="F43" s="647">
        <v>0.2</v>
      </c>
      <c r="G43" s="648">
        <f t="shared" ref="G43:G50" si="0">ROUND(G$34*F43,2)</f>
        <v>414.04</v>
      </c>
      <c r="H43" s="4"/>
    </row>
    <row r="44" spans="1:8" x14ac:dyDescent="0.2">
      <c r="A44" s="636" t="s">
        <v>29</v>
      </c>
      <c r="B44" s="1171" t="s">
        <v>43</v>
      </c>
      <c r="C44" s="976"/>
      <c r="D44" s="976"/>
      <c r="E44" s="989"/>
      <c r="F44" s="273">
        <v>2.5000000000000001E-2</v>
      </c>
      <c r="G44" s="107">
        <f t="shared" si="0"/>
        <v>51.75</v>
      </c>
      <c r="H44" s="4"/>
    </row>
    <row r="45" spans="1:8" x14ac:dyDescent="0.2">
      <c r="A45" s="636" t="s">
        <v>30</v>
      </c>
      <c r="B45" s="1171" t="s">
        <v>44</v>
      </c>
      <c r="C45" s="976"/>
      <c r="D45" s="976"/>
      <c r="E45" s="989"/>
      <c r="F45" s="737">
        <v>0</v>
      </c>
      <c r="G45" s="107">
        <f t="shared" si="0"/>
        <v>0</v>
      </c>
      <c r="H45" s="4"/>
    </row>
    <row r="46" spans="1:8" x14ac:dyDescent="0.2">
      <c r="A46" s="636" t="s">
        <v>31</v>
      </c>
      <c r="B46" s="1171" t="s">
        <v>45</v>
      </c>
      <c r="C46" s="976"/>
      <c r="D46" s="976"/>
      <c r="E46" s="989"/>
      <c r="F46" s="273">
        <v>1.4999999999999999E-2</v>
      </c>
      <c r="G46" s="107">
        <f t="shared" si="0"/>
        <v>31.05</v>
      </c>
      <c r="H46" s="4"/>
    </row>
    <row r="47" spans="1:8" x14ac:dyDescent="0.2">
      <c r="A47" s="636" t="s">
        <v>32</v>
      </c>
      <c r="B47" s="1171" t="s">
        <v>46</v>
      </c>
      <c r="C47" s="976"/>
      <c r="D47" s="976"/>
      <c r="E47" s="989"/>
      <c r="F47" s="273">
        <v>0.01</v>
      </c>
      <c r="G47" s="107">
        <f t="shared" si="0"/>
        <v>20.7</v>
      </c>
      <c r="H47" s="4"/>
    </row>
    <row r="48" spans="1:8" x14ac:dyDescent="0.2">
      <c r="A48" s="636" t="s">
        <v>34</v>
      </c>
      <c r="B48" s="1171" t="s">
        <v>47</v>
      </c>
      <c r="C48" s="976"/>
      <c r="D48" s="976"/>
      <c r="E48" s="989"/>
      <c r="F48" s="273">
        <v>6.0000000000000001E-3</v>
      </c>
      <c r="G48" s="107">
        <f t="shared" si="0"/>
        <v>12.42</v>
      </c>
      <c r="H48" s="4"/>
    </row>
    <row r="49" spans="1:8" x14ac:dyDescent="0.2">
      <c r="A49" s="636" t="s">
        <v>48</v>
      </c>
      <c r="B49" s="1171" t="s">
        <v>49</v>
      </c>
      <c r="C49" s="976"/>
      <c r="D49" s="976"/>
      <c r="E49" s="989"/>
      <c r="F49" s="273">
        <v>2E-3</v>
      </c>
      <c r="G49" s="107">
        <f t="shared" si="0"/>
        <v>4.1399999999999997</v>
      </c>
      <c r="H49" s="4"/>
    </row>
    <row r="50" spans="1:8" x14ac:dyDescent="0.2">
      <c r="A50" s="108" t="s">
        <v>50</v>
      </c>
      <c r="B50" s="1174" t="s">
        <v>51</v>
      </c>
      <c r="C50" s="978"/>
      <c r="D50" s="978"/>
      <c r="E50" s="1184"/>
      <c r="F50" s="274">
        <v>0.08</v>
      </c>
      <c r="G50" s="275">
        <f t="shared" si="0"/>
        <v>165.61</v>
      </c>
      <c r="H50" s="4"/>
    </row>
    <row r="51" spans="1:8" x14ac:dyDescent="0.2">
      <c r="A51" s="1148" t="s">
        <v>52</v>
      </c>
      <c r="B51" s="1149"/>
      <c r="C51" s="1149"/>
      <c r="D51" s="1149"/>
      <c r="E51" s="1150"/>
      <c r="F51" s="644">
        <f>SUM(F43:F50)</f>
        <v>0.33800000000000002</v>
      </c>
      <c r="G51" s="645">
        <f>SUM(G43:G50)</f>
        <v>699.71</v>
      </c>
      <c r="H51" s="4">
        <f>ROUND(G34*F51,2)</f>
        <v>699.72</v>
      </c>
    </row>
    <row r="52" spans="1:8" x14ac:dyDescent="0.2">
      <c r="A52" s="1161" t="s">
        <v>53</v>
      </c>
      <c r="B52" s="1162"/>
      <c r="C52" s="1162"/>
      <c r="D52" s="1162"/>
      <c r="E52" s="1162"/>
      <c r="F52" s="1162"/>
      <c r="G52" s="1163"/>
      <c r="H52" s="4"/>
    </row>
    <row r="53" spans="1:8" x14ac:dyDescent="0.2">
      <c r="A53" s="649" t="s">
        <v>28</v>
      </c>
      <c r="B53" s="1182" t="s">
        <v>54</v>
      </c>
      <c r="C53" s="1183"/>
      <c r="D53" s="1183"/>
      <c r="E53" s="774">
        <v>0</v>
      </c>
      <c r="F53" s="650">
        <v>42</v>
      </c>
      <c r="G53" s="651">
        <f>IF(ROUND((E53*F53)-(G27*0.06),2)&lt;0,0,ROUND((E53*F53)-(G27*0.06),2))</f>
        <v>0</v>
      </c>
      <c r="H53" s="4"/>
    </row>
    <row r="54" spans="1:8" x14ac:dyDescent="0.2">
      <c r="A54" s="320" t="s">
        <v>29</v>
      </c>
      <c r="B54" s="1178" t="s">
        <v>56</v>
      </c>
      <c r="C54" s="982"/>
      <c r="D54" s="982"/>
      <c r="E54" s="276">
        <f>20.76-1.39</f>
        <v>19.37</v>
      </c>
      <c r="F54" s="277">
        <v>21</v>
      </c>
      <c r="G54" s="270">
        <f t="shared" ref="G54:G62" si="1">ROUND((E54*F54),2)</f>
        <v>406.77</v>
      </c>
      <c r="H54" s="4"/>
    </row>
    <row r="55" spans="1:8" x14ac:dyDescent="0.2">
      <c r="A55" s="320" t="s">
        <v>30</v>
      </c>
      <c r="B55" s="1178" t="s">
        <v>58</v>
      </c>
      <c r="C55" s="982"/>
      <c r="D55" s="982"/>
      <c r="E55" s="276">
        <v>144.68</v>
      </c>
      <c r="F55" s="277">
        <v>1</v>
      </c>
      <c r="G55" s="270">
        <f t="shared" si="1"/>
        <v>144.68</v>
      </c>
      <c r="H55" s="4"/>
    </row>
    <row r="56" spans="1:8" x14ac:dyDescent="0.2">
      <c r="A56" s="320" t="s">
        <v>31</v>
      </c>
      <c r="B56" s="1178" t="s">
        <v>149</v>
      </c>
      <c r="C56" s="982"/>
      <c r="D56" s="982"/>
      <c r="E56" s="276">
        <v>35.33</v>
      </c>
      <c r="F56" s="277">
        <v>1</v>
      </c>
      <c r="G56" s="270">
        <f t="shared" si="1"/>
        <v>35.33</v>
      </c>
      <c r="H56" s="4"/>
    </row>
    <row r="57" spans="1:8" x14ac:dyDescent="0.2">
      <c r="A57" s="320" t="s">
        <v>32</v>
      </c>
      <c r="B57" s="1178" t="s">
        <v>179</v>
      </c>
      <c r="C57" s="982"/>
      <c r="D57" s="982"/>
      <c r="E57" s="739">
        <f>ROUND((F18*30%)*5%,2)*0</f>
        <v>0</v>
      </c>
      <c r="F57" s="277">
        <v>1</v>
      </c>
      <c r="G57" s="270">
        <f t="shared" si="1"/>
        <v>0</v>
      </c>
      <c r="H57" s="4"/>
    </row>
    <row r="58" spans="1:8" x14ac:dyDescent="0.2">
      <c r="A58" s="320" t="s">
        <v>34</v>
      </c>
      <c r="B58" s="1178" t="s">
        <v>150</v>
      </c>
      <c r="C58" s="982"/>
      <c r="D58" s="982"/>
      <c r="E58" s="276">
        <f>20.76</f>
        <v>20.76</v>
      </c>
      <c r="F58" s="277">
        <v>1</v>
      </c>
      <c r="G58" s="270">
        <f t="shared" si="1"/>
        <v>20.76</v>
      </c>
      <c r="H58" s="4"/>
    </row>
    <row r="59" spans="1:8" x14ac:dyDescent="0.2">
      <c r="A59" s="320" t="s">
        <v>48</v>
      </c>
      <c r="B59" s="1178" t="s">
        <v>180</v>
      </c>
      <c r="C59" s="982"/>
      <c r="D59" s="982"/>
      <c r="E59" s="296">
        <f>15.96</f>
        <v>15.96</v>
      </c>
      <c r="F59" s="277">
        <v>1</v>
      </c>
      <c r="G59" s="270">
        <f t="shared" si="1"/>
        <v>15.96</v>
      </c>
      <c r="H59" s="4"/>
    </row>
    <row r="60" spans="1:8" x14ac:dyDescent="0.2">
      <c r="A60" s="320" t="s">
        <v>50</v>
      </c>
      <c r="B60" s="1179" t="s">
        <v>254</v>
      </c>
      <c r="C60" s="986"/>
      <c r="D60" s="986"/>
      <c r="E60" s="297">
        <v>300</v>
      </c>
      <c r="F60" s="277">
        <v>1</v>
      </c>
      <c r="G60" s="270">
        <f t="shared" si="1"/>
        <v>300</v>
      </c>
      <c r="H60" s="4"/>
    </row>
    <row r="61" spans="1:8" x14ac:dyDescent="0.2">
      <c r="A61" s="320" t="s">
        <v>151</v>
      </c>
      <c r="B61" s="1179" t="s">
        <v>152</v>
      </c>
      <c r="C61" s="986"/>
      <c r="D61" s="986"/>
      <c r="E61" s="297">
        <v>0</v>
      </c>
      <c r="F61" s="277">
        <v>1</v>
      </c>
      <c r="G61" s="270">
        <f t="shared" si="1"/>
        <v>0</v>
      </c>
      <c r="H61" s="4"/>
    </row>
    <row r="62" spans="1:8" x14ac:dyDescent="0.2">
      <c r="A62" s="320" t="s">
        <v>417</v>
      </c>
      <c r="B62" s="1180" t="s">
        <v>152</v>
      </c>
      <c r="C62" s="1181"/>
      <c r="D62" s="1181"/>
      <c r="E62" s="278">
        <v>0</v>
      </c>
      <c r="F62" s="277">
        <v>1</v>
      </c>
      <c r="G62" s="270">
        <f t="shared" si="1"/>
        <v>0</v>
      </c>
      <c r="H62" s="4"/>
    </row>
    <row r="63" spans="1:8" x14ac:dyDescent="0.2">
      <c r="A63" s="1177" t="s">
        <v>60</v>
      </c>
      <c r="B63" s="1125"/>
      <c r="C63" s="1125"/>
      <c r="D63" s="1125"/>
      <c r="E63" s="1125"/>
      <c r="F63" s="1126"/>
      <c r="G63" s="635">
        <f>SUM(G53:G62)+52.42</f>
        <v>975.92</v>
      </c>
      <c r="H63" s="4"/>
    </row>
    <row r="64" spans="1:8" x14ac:dyDescent="0.2">
      <c r="A64" s="1138" t="s">
        <v>61</v>
      </c>
      <c r="B64" s="1139"/>
      <c r="C64" s="1139"/>
      <c r="D64" s="1139"/>
      <c r="E64" s="1139"/>
      <c r="F64" s="1140"/>
      <c r="G64" s="1141"/>
      <c r="H64" s="4"/>
    </row>
    <row r="65" spans="1:8" x14ac:dyDescent="0.2">
      <c r="A65" s="652" t="s">
        <v>62</v>
      </c>
      <c r="B65" s="1142" t="s">
        <v>63</v>
      </c>
      <c r="C65" s="953"/>
      <c r="D65" s="953"/>
      <c r="E65" s="953"/>
      <c r="F65" s="653">
        <f>F41</f>
        <v>0.27339999999999998</v>
      </c>
      <c r="G65" s="654">
        <f>G41</f>
        <v>565.99</v>
      </c>
      <c r="H65" s="4"/>
    </row>
    <row r="66" spans="1:8" x14ac:dyDescent="0.2">
      <c r="A66" s="655" t="s">
        <v>64</v>
      </c>
      <c r="B66" s="1132" t="s">
        <v>128</v>
      </c>
      <c r="C66" s="928"/>
      <c r="D66" s="928"/>
      <c r="E66" s="928"/>
      <c r="F66" s="18">
        <f>F51</f>
        <v>0.33800000000000002</v>
      </c>
      <c r="G66" s="279">
        <f>G51</f>
        <v>699.71</v>
      </c>
      <c r="H66" s="4"/>
    </row>
    <row r="67" spans="1:8" x14ac:dyDescent="0.2">
      <c r="A67" s="655" t="s">
        <v>65</v>
      </c>
      <c r="B67" s="1132" t="s">
        <v>66</v>
      </c>
      <c r="C67" s="928"/>
      <c r="D67" s="928"/>
      <c r="E67" s="928"/>
      <c r="F67" s="929"/>
      <c r="G67" s="279">
        <f>G63</f>
        <v>975.92</v>
      </c>
      <c r="H67" s="4"/>
    </row>
    <row r="68" spans="1:8" x14ac:dyDescent="0.2">
      <c r="A68" s="1124" t="s">
        <v>67</v>
      </c>
      <c r="B68" s="1125"/>
      <c r="C68" s="1125"/>
      <c r="D68" s="1125"/>
      <c r="E68" s="1125"/>
      <c r="F68" s="1126"/>
      <c r="G68" s="635">
        <f>SUM(G65:G67)</f>
        <v>2241.62</v>
      </c>
      <c r="H68" s="4"/>
    </row>
    <row r="69" spans="1:8" x14ac:dyDescent="0.2">
      <c r="A69" s="1138" t="s">
        <v>68</v>
      </c>
      <c r="B69" s="1139"/>
      <c r="C69" s="1139"/>
      <c r="D69" s="1139"/>
      <c r="E69" s="1139"/>
      <c r="F69" s="1140"/>
      <c r="G69" s="1141"/>
      <c r="H69" s="4"/>
    </row>
    <row r="70" spans="1:8" s="21" customFormat="1" x14ac:dyDescent="0.2">
      <c r="A70" s="632">
        <v>3</v>
      </c>
      <c r="B70" s="19" t="s">
        <v>69</v>
      </c>
      <c r="C70" s="19"/>
      <c r="D70" s="19"/>
      <c r="E70" s="19"/>
      <c r="F70" s="19"/>
      <c r="G70" s="656"/>
      <c r="H70" s="4"/>
    </row>
    <row r="71" spans="1:8" x14ac:dyDescent="0.2">
      <c r="A71" s="657" t="s">
        <v>28</v>
      </c>
      <c r="B71" s="1144" t="s">
        <v>70</v>
      </c>
      <c r="C71" s="943"/>
      <c r="D71" s="943"/>
      <c r="E71" s="943"/>
      <c r="F71" s="741">
        <f>ROUND((1/12)*0.05,4)*0</f>
        <v>0</v>
      </c>
      <c r="G71" s="658">
        <f t="shared" ref="G71:G76" si="2">ROUND(G$34*F71,2)</f>
        <v>0</v>
      </c>
      <c r="H71" s="4"/>
    </row>
    <row r="72" spans="1:8" x14ac:dyDescent="0.2">
      <c r="A72" s="434" t="s">
        <v>29</v>
      </c>
      <c r="B72" s="967" t="s">
        <v>71</v>
      </c>
      <c r="C72" s="920"/>
      <c r="D72" s="920"/>
      <c r="E72" s="920"/>
      <c r="F72" s="283">
        <f>ROUND((F71*F50),4)</f>
        <v>0</v>
      </c>
      <c r="G72" s="280">
        <f t="shared" si="2"/>
        <v>0</v>
      </c>
      <c r="H72" s="4"/>
    </row>
    <row r="73" spans="1:8" x14ac:dyDescent="0.2">
      <c r="A73" s="434" t="s">
        <v>30</v>
      </c>
      <c r="B73" s="967" t="s">
        <v>401</v>
      </c>
      <c r="C73" s="920"/>
      <c r="D73" s="920"/>
      <c r="E73" s="920"/>
      <c r="F73" s="743">
        <f>ROUND((0.08*0.4*0.9)*(1+0.09+0.09+0.3),2)*0</f>
        <v>0</v>
      </c>
      <c r="G73" s="280">
        <f t="shared" si="2"/>
        <v>0</v>
      </c>
      <c r="H73" s="4"/>
    </row>
    <row r="74" spans="1:8" x14ac:dyDescent="0.2">
      <c r="A74" s="434" t="s">
        <v>31</v>
      </c>
      <c r="B74" s="967" t="s">
        <v>72</v>
      </c>
      <c r="C74" s="920"/>
      <c r="D74" s="920"/>
      <c r="E74" s="920"/>
      <c r="F74" s="743">
        <f>ROUND(100%/30*7/12*100%,4)*0</f>
        <v>0</v>
      </c>
      <c r="G74" s="280">
        <f t="shared" si="2"/>
        <v>0</v>
      </c>
      <c r="H74" s="4"/>
    </row>
    <row r="75" spans="1:8" s="3" customFormat="1" x14ac:dyDescent="0.2">
      <c r="A75" s="434" t="s">
        <v>32</v>
      </c>
      <c r="B75" s="967" t="s">
        <v>119</v>
      </c>
      <c r="C75" s="920"/>
      <c r="D75" s="920"/>
      <c r="E75" s="920"/>
      <c r="F75" s="283">
        <f>ROUND(F74*F51,4)</f>
        <v>0</v>
      </c>
      <c r="G75" s="280">
        <f t="shared" si="2"/>
        <v>0</v>
      </c>
      <c r="H75" s="4"/>
    </row>
    <row r="76" spans="1:8" x14ac:dyDescent="0.2">
      <c r="A76" s="434" t="s">
        <v>34</v>
      </c>
      <c r="B76" s="968" t="s">
        <v>135</v>
      </c>
      <c r="C76" s="980"/>
      <c r="D76" s="980"/>
      <c r="E76" s="980"/>
      <c r="F76" s="298">
        <v>0</v>
      </c>
      <c r="G76" s="281">
        <f t="shared" si="2"/>
        <v>0</v>
      </c>
      <c r="H76" s="4"/>
    </row>
    <row r="77" spans="1:8" x14ac:dyDescent="0.2">
      <c r="A77" s="1124" t="s">
        <v>73</v>
      </c>
      <c r="B77" s="1125"/>
      <c r="C77" s="1125"/>
      <c r="D77" s="1125"/>
      <c r="E77" s="1125"/>
      <c r="F77" s="288">
        <f>SUM(F71:F76)</f>
        <v>0</v>
      </c>
      <c r="G77" s="282">
        <f>SUM(G71:G76)</f>
        <v>0</v>
      </c>
      <c r="H77" s="4">
        <f>ROUND(G34*F77,2)</f>
        <v>0</v>
      </c>
    </row>
    <row r="78" spans="1:8" x14ac:dyDescent="0.2">
      <c r="A78" s="1138" t="s">
        <v>74</v>
      </c>
      <c r="B78" s="1139"/>
      <c r="C78" s="1139"/>
      <c r="D78" s="1139"/>
      <c r="E78" s="1139"/>
      <c r="F78" s="1140"/>
      <c r="G78" s="1141"/>
      <c r="H78" s="4"/>
    </row>
    <row r="79" spans="1:8" s="21" customFormat="1" x14ac:dyDescent="0.2">
      <c r="A79" s="1161" t="s">
        <v>120</v>
      </c>
      <c r="B79" s="1162"/>
      <c r="C79" s="1162"/>
      <c r="D79" s="1162"/>
      <c r="E79" s="1162"/>
      <c r="F79" s="1162"/>
      <c r="G79" s="1163"/>
      <c r="H79" s="4"/>
    </row>
    <row r="80" spans="1:8" x14ac:dyDescent="0.2">
      <c r="A80" s="646" t="s">
        <v>28</v>
      </c>
      <c r="B80" s="1175" t="s">
        <v>405</v>
      </c>
      <c r="C80" s="1176"/>
      <c r="D80" s="1176"/>
      <c r="E80" s="1176"/>
      <c r="F80" s="647">
        <v>0</v>
      </c>
      <c r="G80" s="658">
        <f t="shared" ref="G80:G85" si="3">ROUND(G$34*F80,2)</f>
        <v>0</v>
      </c>
      <c r="H80" s="4"/>
    </row>
    <row r="81" spans="1:8" x14ac:dyDescent="0.2">
      <c r="A81" s="636" t="s">
        <v>29</v>
      </c>
      <c r="B81" s="1171" t="s">
        <v>121</v>
      </c>
      <c r="C81" s="976"/>
      <c r="D81" s="976"/>
      <c r="E81" s="976"/>
      <c r="F81" s="745">
        <f>ROUND(((1/30)/12)*1,4)*0</f>
        <v>0</v>
      </c>
      <c r="G81" s="280">
        <f t="shared" si="3"/>
        <v>0</v>
      </c>
      <c r="H81" s="4"/>
    </row>
    <row r="82" spans="1:8" x14ac:dyDescent="0.2">
      <c r="A82" s="636" t="s">
        <v>30</v>
      </c>
      <c r="B82" s="1171" t="s">
        <v>122</v>
      </c>
      <c r="C82" s="976"/>
      <c r="D82" s="976"/>
      <c r="E82" s="976"/>
      <c r="F82" s="745">
        <f>ROUND((((1/30)/12)*5)*0.02,4)*0</f>
        <v>0</v>
      </c>
      <c r="G82" s="280">
        <f t="shared" si="3"/>
        <v>0</v>
      </c>
      <c r="H82" s="4"/>
    </row>
    <row r="83" spans="1:8" x14ac:dyDescent="0.2">
      <c r="A83" s="636" t="s">
        <v>31</v>
      </c>
      <c r="B83" s="1171" t="s">
        <v>123</v>
      </c>
      <c r="C83" s="976"/>
      <c r="D83" s="976"/>
      <c r="E83" s="976"/>
      <c r="F83" s="745">
        <f>ROUND((((1/30)/12)*15)*0.05,4)*0</f>
        <v>0</v>
      </c>
      <c r="G83" s="280">
        <f t="shared" si="3"/>
        <v>0</v>
      </c>
      <c r="H83" s="4"/>
    </row>
    <row r="84" spans="1:8" x14ac:dyDescent="0.2">
      <c r="A84" s="636" t="s">
        <v>32</v>
      </c>
      <c r="B84" s="1172" t="s">
        <v>406</v>
      </c>
      <c r="C84" s="1173"/>
      <c r="D84" s="1173"/>
      <c r="E84" s="1173"/>
      <c r="F84" s="273">
        <v>0</v>
      </c>
      <c r="G84" s="280">
        <f t="shared" si="3"/>
        <v>0</v>
      </c>
      <c r="H84" s="4"/>
    </row>
    <row r="85" spans="1:8" x14ac:dyDescent="0.2">
      <c r="A85" s="636" t="s">
        <v>34</v>
      </c>
      <c r="B85" s="1174" t="s">
        <v>124</v>
      </c>
      <c r="C85" s="978"/>
      <c r="D85" s="978"/>
      <c r="E85" s="978"/>
      <c r="F85" s="747">
        <f>ROUND((((1/30)/12)*5)*0.5,4)*0</f>
        <v>0</v>
      </c>
      <c r="G85" s="281">
        <f t="shared" si="3"/>
        <v>0</v>
      </c>
      <c r="H85" s="4"/>
    </row>
    <row r="86" spans="1:8" x14ac:dyDescent="0.2">
      <c r="A86" s="1155" t="s">
        <v>75</v>
      </c>
      <c r="B86" s="1150"/>
      <c r="C86" s="1150"/>
      <c r="D86" s="1150"/>
      <c r="E86" s="1150"/>
      <c r="F86" s="644">
        <f>SUM(F80:F85)</f>
        <v>0</v>
      </c>
      <c r="G86" s="645">
        <f>SUM(G80:G85)</f>
        <v>0</v>
      </c>
      <c r="H86" s="4">
        <f>ROUND(G34*F86,2)</f>
        <v>0</v>
      </c>
    </row>
    <row r="87" spans="1:8" s="21" customFormat="1" x14ac:dyDescent="0.2">
      <c r="A87" s="1168" t="s">
        <v>76</v>
      </c>
      <c r="B87" s="1169"/>
      <c r="C87" s="1169"/>
      <c r="D87" s="1169"/>
      <c r="E87" s="1169"/>
      <c r="F87" s="1169"/>
      <c r="G87" s="1170"/>
      <c r="H87" s="4"/>
    </row>
    <row r="88" spans="1:8" x14ac:dyDescent="0.2">
      <c r="A88" s="657" t="s">
        <v>28</v>
      </c>
      <c r="B88" s="1144" t="s">
        <v>77</v>
      </c>
      <c r="C88" s="943"/>
      <c r="D88" s="943"/>
      <c r="E88" s="943"/>
      <c r="F88" s="741">
        <f xml:space="preserve"> ROUND((((ROUND((1/11)+(1/11)/3, 3))*4)/12)*1%,4)*0</f>
        <v>0</v>
      </c>
      <c r="G88" s="658">
        <f>ROUND(G$34*F88,2)</f>
        <v>0</v>
      </c>
      <c r="H88" s="4"/>
    </row>
    <row r="89" spans="1:8" x14ac:dyDescent="0.2">
      <c r="A89" s="434" t="s">
        <v>29</v>
      </c>
      <c r="B89" s="967" t="s">
        <v>78</v>
      </c>
      <c r="C89" s="920"/>
      <c r="D89" s="920"/>
      <c r="E89" s="920"/>
      <c r="F89" s="283">
        <f>ROUND(F88*F51,4)</f>
        <v>0</v>
      </c>
      <c r="G89" s="280">
        <f>ROUND(G$34*F89,2)</f>
        <v>0</v>
      </c>
      <c r="H89" s="4"/>
    </row>
    <row r="90" spans="1:8" x14ac:dyDescent="0.2">
      <c r="A90" s="434" t="s">
        <v>30</v>
      </c>
      <c r="B90" s="967" t="s">
        <v>79</v>
      </c>
      <c r="C90" s="920"/>
      <c r="D90" s="920"/>
      <c r="E90" s="920"/>
      <c r="F90" s="743">
        <f>ROUND(ROUND(ROUND(((1+1/12)*4)/12,4)*1%,4)*F51,4)*0</f>
        <v>0</v>
      </c>
      <c r="G90" s="280">
        <f>ROUND(G$34*F90,2)</f>
        <v>0</v>
      </c>
      <c r="H90" s="4"/>
    </row>
    <row r="91" spans="1:8" x14ac:dyDescent="0.2">
      <c r="A91" s="434" t="s">
        <v>31</v>
      </c>
      <c r="B91" s="967" t="s">
        <v>59</v>
      </c>
      <c r="C91" s="920"/>
      <c r="D91" s="920"/>
      <c r="E91" s="920"/>
      <c r="F91" s="283">
        <v>0</v>
      </c>
      <c r="G91" s="281">
        <f>ROUND(G$34*F91,2)</f>
        <v>0</v>
      </c>
      <c r="H91" s="4"/>
    </row>
    <row r="92" spans="1:8" x14ac:dyDescent="0.2">
      <c r="A92" s="1160" t="s">
        <v>80</v>
      </c>
      <c r="B92" s="1126"/>
      <c r="C92" s="1126"/>
      <c r="D92" s="1126"/>
      <c r="E92" s="1126"/>
      <c r="F92" s="659">
        <f>SUM(F88:F91)</f>
        <v>0</v>
      </c>
      <c r="G92" s="660">
        <f>SUM(G88:G91)</f>
        <v>0</v>
      </c>
      <c r="H92" s="4">
        <f>ROUND(G34*F92,2)</f>
        <v>0</v>
      </c>
    </row>
    <row r="93" spans="1:8" s="21" customFormat="1" x14ac:dyDescent="0.2">
      <c r="A93" s="1168" t="s">
        <v>81</v>
      </c>
      <c r="B93" s="1169"/>
      <c r="C93" s="1169"/>
      <c r="D93" s="1169"/>
      <c r="E93" s="1169"/>
      <c r="F93" s="1169"/>
      <c r="G93" s="1170"/>
      <c r="H93" s="4"/>
    </row>
    <row r="94" spans="1:8" x14ac:dyDescent="0.2">
      <c r="A94" s="753" t="s">
        <v>28</v>
      </c>
      <c r="B94" s="1156" t="s">
        <v>82</v>
      </c>
      <c r="C94" s="974"/>
      <c r="D94" s="974"/>
      <c r="E94" s="974"/>
      <c r="F94" s="754">
        <f>((1/220)*22)*0</f>
        <v>0</v>
      </c>
      <c r="G94" s="755">
        <f>ROUND(G$34*F94,2)</f>
        <v>0</v>
      </c>
      <c r="H94" s="4"/>
    </row>
    <row r="95" spans="1:8" x14ac:dyDescent="0.2">
      <c r="A95" s="753" t="s">
        <v>29</v>
      </c>
      <c r="B95" s="1157" t="s">
        <v>191</v>
      </c>
      <c r="C95" s="1158"/>
      <c r="D95" s="1158"/>
      <c r="E95" s="1159"/>
      <c r="F95" s="756">
        <f>F94*F51</f>
        <v>0</v>
      </c>
      <c r="G95" s="755">
        <f>ROUND(G$34*F95,2)</f>
        <v>0</v>
      </c>
      <c r="H95" s="4"/>
    </row>
    <row r="96" spans="1:8" x14ac:dyDescent="0.2">
      <c r="A96" s="1160" t="s">
        <v>83</v>
      </c>
      <c r="B96" s="1126"/>
      <c r="C96" s="1126"/>
      <c r="D96" s="1126"/>
      <c r="E96" s="1126"/>
      <c r="F96" s="659">
        <f>SUM(F94:F95)</f>
        <v>0</v>
      </c>
      <c r="G96" s="660">
        <f>SUM(G94:G94)</f>
        <v>0</v>
      </c>
      <c r="H96" s="4">
        <f>ROUND(G34*F96,2)</f>
        <v>0</v>
      </c>
    </row>
    <row r="97" spans="1:9" s="46" customFormat="1" x14ac:dyDescent="0.2">
      <c r="A97" s="1161" t="s">
        <v>125</v>
      </c>
      <c r="B97" s="1162"/>
      <c r="C97" s="1162"/>
      <c r="D97" s="1162"/>
      <c r="E97" s="1162"/>
      <c r="F97" s="1162"/>
      <c r="G97" s="1163"/>
      <c r="H97" s="36"/>
    </row>
    <row r="98" spans="1:9" s="35" customFormat="1" x14ac:dyDescent="0.2">
      <c r="A98" s="646" t="s">
        <v>28</v>
      </c>
      <c r="B98" s="1164" t="s">
        <v>126</v>
      </c>
      <c r="C98" s="960"/>
      <c r="D98" s="960"/>
      <c r="E98" s="960"/>
      <c r="F98" s="761">
        <f>((((8*13)/12)/220)+((((8*13)/12)/220)*100%))*0</f>
        <v>0</v>
      </c>
      <c r="G98" s="658">
        <f>ROUND(G$34*F98,2)</f>
        <v>0</v>
      </c>
      <c r="H98" s="36"/>
    </row>
    <row r="99" spans="1:9" s="35" customFormat="1" x14ac:dyDescent="0.2">
      <c r="A99" s="646" t="s">
        <v>29</v>
      </c>
      <c r="B99" s="1165" t="s">
        <v>191</v>
      </c>
      <c r="C99" s="1166"/>
      <c r="D99" s="1166"/>
      <c r="E99" s="1167"/>
      <c r="F99" s="661">
        <f>F98*F51</f>
        <v>0</v>
      </c>
      <c r="G99" s="658">
        <f>ROUND(G$34*F99,2)</f>
        <v>0</v>
      </c>
      <c r="H99" s="36"/>
    </row>
    <row r="100" spans="1:9" s="35" customFormat="1" x14ac:dyDescent="0.2">
      <c r="A100" s="1155" t="s">
        <v>127</v>
      </c>
      <c r="B100" s="1150"/>
      <c r="C100" s="1150"/>
      <c r="D100" s="1150"/>
      <c r="E100" s="1150"/>
      <c r="F100" s="644">
        <f>SUM(F98:F99)</f>
        <v>0</v>
      </c>
      <c r="G100" s="645">
        <f>SUM(G98:G98)</f>
        <v>0</v>
      </c>
      <c r="H100" s="36">
        <f>ROUND(G44*F100,2)</f>
        <v>0</v>
      </c>
    </row>
    <row r="101" spans="1:9" x14ac:dyDescent="0.2">
      <c r="A101" s="1138" t="s">
        <v>84</v>
      </c>
      <c r="B101" s="1139"/>
      <c r="C101" s="1139"/>
      <c r="D101" s="1139"/>
      <c r="E101" s="1139"/>
      <c r="F101" s="1140"/>
      <c r="G101" s="1141"/>
      <c r="H101" s="4"/>
    </row>
    <row r="102" spans="1:9" x14ac:dyDescent="0.2">
      <c r="A102" s="652" t="s">
        <v>85</v>
      </c>
      <c r="B102" s="1142" t="s">
        <v>129</v>
      </c>
      <c r="C102" s="953"/>
      <c r="D102" s="953"/>
      <c r="E102" s="953"/>
      <c r="F102" s="653">
        <f>F86</f>
        <v>0</v>
      </c>
      <c r="G102" s="654">
        <f>G86</f>
        <v>0</v>
      </c>
      <c r="H102" s="4"/>
    </row>
    <row r="103" spans="1:9" x14ac:dyDescent="0.2">
      <c r="A103" s="655" t="s">
        <v>86</v>
      </c>
      <c r="B103" s="1132" t="s">
        <v>87</v>
      </c>
      <c r="C103" s="928"/>
      <c r="D103" s="928"/>
      <c r="E103" s="928"/>
      <c r="F103" s="18">
        <f>F92</f>
        <v>0</v>
      </c>
      <c r="G103" s="279">
        <f>G92</f>
        <v>0</v>
      </c>
      <c r="H103" s="4"/>
    </row>
    <row r="104" spans="1:9" x14ac:dyDescent="0.2">
      <c r="A104" s="655" t="s">
        <v>88</v>
      </c>
      <c r="B104" s="1132" t="s">
        <v>89</v>
      </c>
      <c r="C104" s="928"/>
      <c r="D104" s="928"/>
      <c r="E104" s="928"/>
      <c r="F104" s="18">
        <f>F96</f>
        <v>0</v>
      </c>
      <c r="G104" s="279">
        <f>G96</f>
        <v>0</v>
      </c>
      <c r="H104" s="4"/>
    </row>
    <row r="105" spans="1:9" x14ac:dyDescent="0.2">
      <c r="A105" s="655" t="s">
        <v>131</v>
      </c>
      <c r="B105" s="1134" t="s">
        <v>402</v>
      </c>
      <c r="C105" s="934"/>
      <c r="D105" s="934"/>
      <c r="E105" s="934"/>
      <c r="F105" s="18">
        <f>F100</f>
        <v>0</v>
      </c>
      <c r="G105" s="279">
        <f>G100</f>
        <v>0</v>
      </c>
      <c r="H105" s="4"/>
    </row>
    <row r="106" spans="1:9" x14ac:dyDescent="0.2">
      <c r="A106" s="1124" t="s">
        <v>90</v>
      </c>
      <c r="B106" s="1125"/>
      <c r="C106" s="1125"/>
      <c r="D106" s="1125"/>
      <c r="E106" s="1125"/>
      <c r="F106" s="1126"/>
      <c r="G106" s="635">
        <f>SUM(G102:G105)</f>
        <v>0</v>
      </c>
      <c r="H106" s="4"/>
      <c r="I106" s="284">
        <f>SUM(F100,F96,F92,F86,F77,F65,F66)</f>
        <v>0.61140000000000005</v>
      </c>
    </row>
    <row r="107" spans="1:9" x14ac:dyDescent="0.2">
      <c r="A107" s="1138" t="s">
        <v>91</v>
      </c>
      <c r="B107" s="1139"/>
      <c r="C107" s="1139"/>
      <c r="D107" s="1139"/>
      <c r="E107" s="1139"/>
      <c r="F107" s="1140"/>
      <c r="G107" s="1141"/>
      <c r="H107" s="4"/>
    </row>
    <row r="108" spans="1:9" x14ac:dyDescent="0.2">
      <c r="A108" s="657" t="s">
        <v>28</v>
      </c>
      <c r="B108" s="1151" t="s">
        <v>381</v>
      </c>
      <c r="C108" s="1152"/>
      <c r="D108" s="1152"/>
      <c r="E108" s="592">
        <v>154</v>
      </c>
      <c r="F108" s="662">
        <v>1</v>
      </c>
      <c r="G108" s="270">
        <f>ROUND((E108*F108),2)</f>
        <v>154</v>
      </c>
      <c r="H108" s="4"/>
    </row>
    <row r="109" spans="1:9" s="35" customFormat="1" x14ac:dyDescent="0.2">
      <c r="A109" s="636" t="s">
        <v>29</v>
      </c>
      <c r="B109" s="1153" t="s">
        <v>230</v>
      </c>
      <c r="C109" s="1154"/>
      <c r="D109" s="1154"/>
      <c r="E109" s="297">
        <v>48</v>
      </c>
      <c r="F109" s="47">
        <v>1</v>
      </c>
      <c r="G109" s="270">
        <f t="shared" ref="G109:G115" si="4">ROUND((E109*F109),2)</f>
        <v>48</v>
      </c>
      <c r="H109" s="36"/>
    </row>
    <row r="110" spans="1:9" s="35" customFormat="1" x14ac:dyDescent="0.2">
      <c r="A110" s="636" t="s">
        <v>30</v>
      </c>
      <c r="B110" s="967" t="s">
        <v>59</v>
      </c>
      <c r="C110" s="920"/>
      <c r="D110" s="920"/>
      <c r="E110" s="297">
        <v>0</v>
      </c>
      <c r="F110" s="48">
        <v>1</v>
      </c>
      <c r="G110" s="270">
        <f t="shared" si="4"/>
        <v>0</v>
      </c>
      <c r="H110" s="36"/>
    </row>
    <row r="111" spans="1:9" s="35" customFormat="1" x14ac:dyDescent="0.2">
      <c r="A111" s="636" t="s">
        <v>31</v>
      </c>
      <c r="B111" s="967" t="s">
        <v>59</v>
      </c>
      <c r="C111" s="920"/>
      <c r="D111" s="920"/>
      <c r="E111" s="297">
        <v>0</v>
      </c>
      <c r="F111" s="48">
        <v>1</v>
      </c>
      <c r="G111" s="270">
        <f t="shared" si="4"/>
        <v>0</v>
      </c>
      <c r="H111" s="36"/>
    </row>
    <row r="112" spans="1:9" s="35" customFormat="1" x14ac:dyDescent="0.2">
      <c r="A112" s="636" t="s">
        <v>32</v>
      </c>
      <c r="B112" s="967" t="s">
        <v>59</v>
      </c>
      <c r="C112" s="920"/>
      <c r="D112" s="920"/>
      <c r="E112" s="297">
        <v>0</v>
      </c>
      <c r="F112" s="48">
        <v>1</v>
      </c>
      <c r="G112" s="270">
        <f t="shared" si="4"/>
        <v>0</v>
      </c>
      <c r="H112" s="36"/>
    </row>
    <row r="113" spans="1:8" s="35" customFormat="1" x14ac:dyDescent="0.2">
      <c r="A113" s="636" t="s">
        <v>34</v>
      </c>
      <c r="B113" s="967" t="s">
        <v>59</v>
      </c>
      <c r="C113" s="920"/>
      <c r="D113" s="920"/>
      <c r="E113" s="297">
        <v>0</v>
      </c>
      <c r="F113" s="48">
        <v>1</v>
      </c>
      <c r="G113" s="270">
        <f>ROUND((E113*F113)/12,2)</f>
        <v>0</v>
      </c>
      <c r="H113" s="36"/>
    </row>
    <row r="114" spans="1:8" s="35" customFormat="1" x14ac:dyDescent="0.2">
      <c r="A114" s="636" t="s">
        <v>48</v>
      </c>
      <c r="B114" s="967" t="s">
        <v>59</v>
      </c>
      <c r="C114" s="920"/>
      <c r="D114" s="920"/>
      <c r="E114" s="297">
        <v>0</v>
      </c>
      <c r="F114" s="48">
        <v>1</v>
      </c>
      <c r="G114" s="270">
        <f t="shared" si="4"/>
        <v>0</v>
      </c>
      <c r="H114" s="36"/>
    </row>
    <row r="115" spans="1:8" s="35" customFormat="1" x14ac:dyDescent="0.2">
      <c r="A115" s="636" t="s">
        <v>48</v>
      </c>
      <c r="B115" s="1146" t="s">
        <v>59</v>
      </c>
      <c r="C115" s="1147"/>
      <c r="D115" s="1147"/>
      <c r="E115" s="297">
        <v>0</v>
      </c>
      <c r="F115" s="48">
        <v>1</v>
      </c>
      <c r="G115" s="270">
        <f t="shared" si="4"/>
        <v>0</v>
      </c>
      <c r="H115" s="36"/>
    </row>
    <row r="116" spans="1:8" s="35" customFormat="1" x14ac:dyDescent="0.2">
      <c r="A116" s="1148" t="s">
        <v>92</v>
      </c>
      <c r="B116" s="1149"/>
      <c r="C116" s="1149"/>
      <c r="D116" s="1149"/>
      <c r="E116" s="1149"/>
      <c r="F116" s="1150"/>
      <c r="G116" s="635">
        <f>SUM(G108:G115)</f>
        <v>202</v>
      </c>
      <c r="H116" s="36"/>
    </row>
    <row r="117" spans="1:8" x14ac:dyDescent="0.2">
      <c r="A117" s="1138" t="s">
        <v>93</v>
      </c>
      <c r="B117" s="1139"/>
      <c r="C117" s="1139"/>
      <c r="D117" s="1139"/>
      <c r="E117" s="1139"/>
      <c r="F117" s="1140"/>
      <c r="G117" s="1141"/>
      <c r="H117" s="4"/>
    </row>
    <row r="118" spans="1:8" s="21" customFormat="1" x14ac:dyDescent="0.2">
      <c r="A118" s="632">
        <v>3</v>
      </c>
      <c r="B118" s="19" t="s">
        <v>94</v>
      </c>
      <c r="C118" s="19"/>
      <c r="D118" s="19"/>
      <c r="E118" s="19"/>
      <c r="F118" s="19"/>
      <c r="G118" s="656"/>
      <c r="H118" s="4"/>
    </row>
    <row r="119" spans="1:8" x14ac:dyDescent="0.2">
      <c r="A119" s="657" t="s">
        <v>28</v>
      </c>
      <c r="B119" s="1144" t="s">
        <v>95</v>
      </c>
      <c r="C119" s="943"/>
      <c r="D119" s="943"/>
      <c r="E119" s="943"/>
      <c r="F119" s="764">
        <v>0</v>
      </c>
      <c r="G119" s="648">
        <f>ROUND(G135*F119,2)</f>
        <v>0</v>
      </c>
      <c r="H119" s="4"/>
    </row>
    <row r="120" spans="1:8" x14ac:dyDescent="0.2">
      <c r="A120" s="434" t="s">
        <v>29</v>
      </c>
      <c r="B120" s="967" t="s">
        <v>96</v>
      </c>
      <c r="C120" s="920"/>
      <c r="D120" s="920"/>
      <c r="E120" s="920"/>
      <c r="F120" s="765">
        <v>0</v>
      </c>
      <c r="G120" s="107">
        <f>ROUND(((G135+G119)*F120),2)</f>
        <v>0</v>
      </c>
      <c r="H120" s="4"/>
    </row>
    <row r="121" spans="1:8" x14ac:dyDescent="0.2">
      <c r="A121" s="434" t="s">
        <v>30</v>
      </c>
      <c r="B121" s="1145" t="s">
        <v>97</v>
      </c>
      <c r="C121" s="945"/>
      <c r="D121" s="945"/>
      <c r="E121" s="945"/>
      <c r="F121" s="283"/>
      <c r="G121" s="107"/>
      <c r="H121" s="4"/>
    </row>
    <row r="122" spans="1:8" x14ac:dyDescent="0.2">
      <c r="A122" s="434" t="s">
        <v>98</v>
      </c>
      <c r="B122" s="967" t="s">
        <v>99</v>
      </c>
      <c r="C122" s="920"/>
      <c r="D122" s="920"/>
      <c r="E122" s="920"/>
      <c r="F122" s="765">
        <v>0</v>
      </c>
      <c r="G122" s="107">
        <f ca="1">ROUND(G$139*F122,2)</f>
        <v>0</v>
      </c>
      <c r="H122" s="4"/>
    </row>
    <row r="123" spans="1:8" s="3" customFormat="1" x14ac:dyDescent="0.2">
      <c r="A123" s="434" t="s">
        <v>100</v>
      </c>
      <c r="B123" s="967" t="s">
        <v>101</v>
      </c>
      <c r="C123" s="920"/>
      <c r="D123" s="920"/>
      <c r="E123" s="920"/>
      <c r="F123" s="765">
        <v>0</v>
      </c>
      <c r="G123" s="107">
        <f ca="1">ROUND(G$139*F123,2)</f>
        <v>0</v>
      </c>
      <c r="H123" s="4"/>
    </row>
    <row r="124" spans="1:8" x14ac:dyDescent="0.2">
      <c r="A124" s="434" t="s">
        <v>102</v>
      </c>
      <c r="B124" s="967" t="s">
        <v>12</v>
      </c>
      <c r="C124" s="920"/>
      <c r="D124" s="920"/>
      <c r="E124" s="920"/>
      <c r="F124" s="285">
        <v>0.05</v>
      </c>
      <c r="G124" s="107">
        <f ca="1">ROUND(G$139*F124,2)</f>
        <v>237.57</v>
      </c>
      <c r="H124" s="4"/>
    </row>
    <row r="125" spans="1:8" x14ac:dyDescent="0.2">
      <c r="A125" s="434" t="s">
        <v>158</v>
      </c>
      <c r="B125" s="967" t="s">
        <v>59</v>
      </c>
      <c r="C125" s="920"/>
      <c r="D125" s="920"/>
      <c r="E125" s="1136"/>
      <c r="F125" s="285">
        <v>0</v>
      </c>
      <c r="G125" s="107">
        <f ca="1">ROUND(G$139*F125,2)</f>
        <v>0</v>
      </c>
      <c r="H125" s="4"/>
    </row>
    <row r="126" spans="1:8" x14ac:dyDescent="0.2">
      <c r="A126" s="434" t="s">
        <v>462</v>
      </c>
      <c r="B126" s="967" t="s">
        <v>59</v>
      </c>
      <c r="C126" s="920"/>
      <c r="D126" s="920"/>
      <c r="E126" s="1136"/>
      <c r="F126" s="285">
        <v>0</v>
      </c>
      <c r="G126" s="107">
        <f ca="1">ROUND(G$139*F126,2)</f>
        <v>0</v>
      </c>
      <c r="H126" s="4"/>
    </row>
    <row r="127" spans="1:8" x14ac:dyDescent="0.2">
      <c r="A127" s="434"/>
      <c r="B127" s="1137" t="s">
        <v>103</v>
      </c>
      <c r="C127" s="947"/>
      <c r="D127" s="947"/>
      <c r="E127" s="947"/>
      <c r="F127" s="286">
        <f>SUM(F122:F126)</f>
        <v>0.05</v>
      </c>
      <c r="G127" s="287">
        <f ca="1">SUM(G122:G126)</f>
        <v>237.57</v>
      </c>
      <c r="H127" s="4">
        <f ca="1">ROUND(G139*F127,2)</f>
        <v>237.57</v>
      </c>
    </row>
    <row r="128" spans="1:8" x14ac:dyDescent="0.2">
      <c r="A128" s="1124" t="s">
        <v>104</v>
      </c>
      <c r="B128" s="1125"/>
      <c r="C128" s="1125"/>
      <c r="D128" s="1125"/>
      <c r="E128" s="1125"/>
      <c r="F128" s="288">
        <f>SUM(F119,F120,F127)</f>
        <v>0.05</v>
      </c>
      <c r="G128" s="282">
        <f ca="1">SUM(G119:G126)</f>
        <v>237.57</v>
      </c>
      <c r="H128" s="4"/>
    </row>
    <row r="129" spans="1:8" x14ac:dyDescent="0.2">
      <c r="A129" s="1138" t="s">
        <v>105</v>
      </c>
      <c r="B129" s="1139"/>
      <c r="C129" s="1139"/>
      <c r="D129" s="1139"/>
      <c r="E129" s="1139"/>
      <c r="F129" s="1140"/>
      <c r="G129" s="1141"/>
      <c r="H129" s="4"/>
    </row>
    <row r="130" spans="1:8" x14ac:dyDescent="0.2">
      <c r="A130" s="652" t="s">
        <v>28</v>
      </c>
      <c r="B130" s="1142" t="s">
        <v>106</v>
      </c>
      <c r="C130" s="953"/>
      <c r="D130" s="953"/>
      <c r="E130" s="953"/>
      <c r="F130" s="1143"/>
      <c r="G130" s="654">
        <f>G34</f>
        <v>2070.1799999999998</v>
      </c>
      <c r="H130" s="4"/>
    </row>
    <row r="131" spans="1:8" x14ac:dyDescent="0.2">
      <c r="A131" s="655" t="s">
        <v>29</v>
      </c>
      <c r="B131" s="1132" t="s">
        <v>107</v>
      </c>
      <c r="C131" s="928"/>
      <c r="D131" s="928"/>
      <c r="E131" s="928"/>
      <c r="F131" s="929"/>
      <c r="G131" s="279">
        <f>G68</f>
        <v>2241.62</v>
      </c>
      <c r="H131" s="4"/>
    </row>
    <row r="132" spans="1:8" x14ac:dyDescent="0.2">
      <c r="A132" s="655" t="s">
        <v>30</v>
      </c>
      <c r="B132" s="1132" t="s">
        <v>108</v>
      </c>
      <c r="C132" s="928"/>
      <c r="D132" s="928"/>
      <c r="E132" s="928"/>
      <c r="F132" s="929"/>
      <c r="G132" s="279">
        <f>G77</f>
        <v>0</v>
      </c>
      <c r="H132" s="4"/>
    </row>
    <row r="133" spans="1:8" x14ac:dyDescent="0.2">
      <c r="A133" s="655" t="s">
        <v>31</v>
      </c>
      <c r="B133" s="1132" t="s">
        <v>109</v>
      </c>
      <c r="C133" s="928"/>
      <c r="D133" s="928"/>
      <c r="E133" s="928"/>
      <c r="F133" s="929"/>
      <c r="G133" s="279">
        <f>G106</f>
        <v>0</v>
      </c>
      <c r="H133" s="4"/>
    </row>
    <row r="134" spans="1:8" x14ac:dyDescent="0.2">
      <c r="A134" s="655" t="s">
        <v>32</v>
      </c>
      <c r="B134" s="1132" t="s">
        <v>110</v>
      </c>
      <c r="C134" s="928"/>
      <c r="D134" s="928"/>
      <c r="E134" s="928"/>
      <c r="F134" s="929"/>
      <c r="G134" s="279">
        <f>G116</f>
        <v>202</v>
      </c>
      <c r="H134" s="4"/>
    </row>
    <row r="135" spans="1:8" x14ac:dyDescent="0.2">
      <c r="A135" s="655"/>
      <c r="B135" s="1133" t="s">
        <v>111</v>
      </c>
      <c r="C135" s="931"/>
      <c r="D135" s="931"/>
      <c r="E135" s="931"/>
      <c r="F135" s="932"/>
      <c r="G135" s="279">
        <f>SUM(G130:G134)</f>
        <v>4513.8</v>
      </c>
      <c r="H135" s="4"/>
    </row>
    <row r="136" spans="1:8" x14ac:dyDescent="0.2">
      <c r="A136" s="655" t="s">
        <v>34</v>
      </c>
      <c r="B136" s="1134" t="s">
        <v>112</v>
      </c>
      <c r="C136" s="934"/>
      <c r="D136" s="934"/>
      <c r="E136" s="934"/>
      <c r="F136" s="1135"/>
      <c r="G136" s="279">
        <f ca="1">G128</f>
        <v>237.57</v>
      </c>
      <c r="H136" s="4"/>
    </row>
    <row r="137" spans="1:8" x14ac:dyDescent="0.2">
      <c r="A137" s="1124" t="s">
        <v>113</v>
      </c>
      <c r="B137" s="1125"/>
      <c r="C137" s="1125"/>
      <c r="D137" s="1125"/>
      <c r="E137" s="1125"/>
      <c r="F137" s="1126"/>
      <c r="G137" s="635">
        <f ca="1">SUM(G135:G136)</f>
        <v>4751.37</v>
      </c>
      <c r="H137" s="4">
        <f ca="1">SUM(G130:G136)-G135</f>
        <v>4751.37</v>
      </c>
    </row>
    <row r="138" spans="1:8" x14ac:dyDescent="0.2">
      <c r="A138" s="1127" t="s">
        <v>13</v>
      </c>
      <c r="B138" s="1128"/>
      <c r="C138" s="1128"/>
      <c r="D138" s="1128"/>
      <c r="E138" s="1128"/>
      <c r="F138" s="1128"/>
      <c r="G138" s="1129"/>
      <c r="H138" s="4"/>
    </row>
    <row r="139" spans="1:8" x14ac:dyDescent="0.2">
      <c r="A139" s="663"/>
      <c r="B139" s="26" t="s">
        <v>114</v>
      </c>
      <c r="C139" s="26"/>
      <c r="D139" s="26"/>
      <c r="E139" s="26"/>
      <c r="F139" s="664"/>
      <c r="G139" s="665">
        <f ca="1">G137</f>
        <v>4751.37</v>
      </c>
      <c r="H139" s="4"/>
    </row>
    <row r="140" spans="1:8" x14ac:dyDescent="0.2">
      <c r="A140" s="666"/>
      <c r="B140" s="29" t="s">
        <v>115</v>
      </c>
      <c r="C140" s="29"/>
      <c r="D140" s="29"/>
      <c r="E140" s="29"/>
      <c r="F140" s="30">
        <f>F21</f>
        <v>1</v>
      </c>
      <c r="G140" s="289">
        <f ca="1">G139*F140</f>
        <v>4751.37</v>
      </c>
      <c r="H140" s="4"/>
    </row>
    <row r="141" spans="1:8" x14ac:dyDescent="0.2">
      <c r="A141" s="401"/>
      <c r="B141" s="290" t="s">
        <v>116</v>
      </c>
      <c r="C141" s="290"/>
      <c r="D141" s="290"/>
      <c r="E141" s="290"/>
      <c r="F141" s="291"/>
      <c r="G141" s="292">
        <f>F21*F22</f>
        <v>1</v>
      </c>
      <c r="H141" s="4"/>
    </row>
    <row r="142" spans="1:8" s="32" customFormat="1" x14ac:dyDescent="0.2">
      <c r="A142" s="667"/>
      <c r="B142" s="1130" t="s">
        <v>4</v>
      </c>
      <c r="C142" s="1130"/>
      <c r="D142" s="1130"/>
      <c r="E142" s="1130"/>
      <c r="F142" s="31">
        <f>F22</f>
        <v>1</v>
      </c>
      <c r="G142" s="776">
        <f ca="1">G140*F142</f>
        <v>4751.37</v>
      </c>
      <c r="H142" s="4"/>
    </row>
    <row r="143" spans="1:8" s="32" customFormat="1" ht="13.5" thickBot="1" x14ac:dyDescent="0.25">
      <c r="A143" s="668"/>
      <c r="B143" s="1131" t="s">
        <v>407</v>
      </c>
      <c r="C143" s="1131"/>
      <c r="D143" s="1131"/>
      <c r="E143" s="1131"/>
      <c r="F143" s="669">
        <v>12</v>
      </c>
      <c r="G143" s="670">
        <f ca="1">G142*F143</f>
        <v>57016.44</v>
      </c>
      <c r="H143" s="4"/>
    </row>
    <row r="144" spans="1:8" x14ac:dyDescent="0.2">
      <c r="F144" s="475"/>
    </row>
    <row r="151" spans="7:7" x14ac:dyDescent="0.2">
      <c r="G151" s="33"/>
    </row>
  </sheetData>
  <mergeCells count="151">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6"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488</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468</v>
      </c>
      <c r="G16" s="1017"/>
      <c r="H16" s="3"/>
    </row>
    <row r="17" spans="1:8" ht="14.1" customHeight="1" x14ac:dyDescent="0.2">
      <c r="A17" s="1000" t="s">
        <v>21</v>
      </c>
      <c r="B17" s="1001"/>
      <c r="C17" s="1001"/>
      <c r="D17" s="1001"/>
      <c r="E17" s="1002"/>
      <c r="F17" s="1016" t="s">
        <v>416</v>
      </c>
      <c r="G17" s="1017"/>
      <c r="H17" s="3"/>
    </row>
    <row r="18" spans="1:8" ht="14.1" customHeight="1" x14ac:dyDescent="0.2">
      <c r="A18" s="1000" t="s">
        <v>1</v>
      </c>
      <c r="B18" s="1001"/>
      <c r="C18" s="1001"/>
      <c r="D18" s="1001"/>
      <c r="E18" s="1002"/>
      <c r="F18" s="1010">
        <v>1872.8</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5.5" customHeight="1" x14ac:dyDescent="0.2">
      <c r="A24" s="1046" t="s">
        <v>487</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307" t="s">
        <v>27</v>
      </c>
      <c r="G26" s="100" t="s">
        <v>3</v>
      </c>
    </row>
    <row r="27" spans="1:8" s="35" customFormat="1" x14ac:dyDescent="0.2">
      <c r="A27" s="101" t="s">
        <v>28</v>
      </c>
      <c r="B27" s="995" t="s">
        <v>153</v>
      </c>
      <c r="C27" s="995"/>
      <c r="D27" s="995"/>
      <c r="E27" s="995"/>
      <c r="F27" s="102">
        <v>1</v>
      </c>
      <c r="G27" s="103">
        <f>F18*F27</f>
        <v>1872.8</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v>0</v>
      </c>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2480</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206.58</v>
      </c>
      <c r="H37" s="54"/>
    </row>
    <row r="38" spans="1:8" x14ac:dyDescent="0.2">
      <c r="A38" s="108" t="s">
        <v>29</v>
      </c>
      <c r="B38" s="977" t="s">
        <v>157</v>
      </c>
      <c r="C38" s="978"/>
      <c r="D38" s="978"/>
      <c r="E38" s="990"/>
      <c r="F38" s="109">
        <f>ROUND((1/11)+(1/11)/3, 3)</f>
        <v>0.121</v>
      </c>
      <c r="G38" s="8">
        <f>ROUND(G$34*F38,2)</f>
        <v>300.08</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171.37</v>
      </c>
      <c r="H40" s="4"/>
    </row>
    <row r="41" spans="1:8" x14ac:dyDescent="0.2">
      <c r="A41" s="963" t="s">
        <v>41</v>
      </c>
      <c r="B41" s="964"/>
      <c r="C41" s="964"/>
      <c r="D41" s="964"/>
      <c r="E41" s="962"/>
      <c r="F41" s="42">
        <f>ROUND(SUM(F39:F40),4)</f>
        <v>0.27339999999999998</v>
      </c>
      <c r="G41" s="112">
        <f>SUM(G37:G40)</f>
        <v>678.03</v>
      </c>
      <c r="H41" s="4">
        <f>ROUND(G34*F41,2)</f>
        <v>678.03</v>
      </c>
    </row>
    <row r="42" spans="1:8" x14ac:dyDescent="0.2">
      <c r="A42" s="956" t="s">
        <v>118</v>
      </c>
      <c r="B42" s="957"/>
      <c r="C42" s="957"/>
      <c r="D42" s="957"/>
      <c r="E42" s="957"/>
      <c r="F42" s="957"/>
      <c r="G42" s="958"/>
      <c r="H42" s="4">
        <f>SUM(G41,G34)</f>
        <v>3158.03</v>
      </c>
    </row>
    <row r="43" spans="1:8" x14ac:dyDescent="0.2">
      <c r="A43" s="43" t="s">
        <v>28</v>
      </c>
      <c r="B43" s="959" t="s">
        <v>42</v>
      </c>
      <c r="C43" s="960"/>
      <c r="D43" s="960"/>
      <c r="E43" s="992"/>
      <c r="F43" s="44">
        <v>0.2</v>
      </c>
      <c r="G43" s="22">
        <f>ROUND((G$34)*F43,2)</f>
        <v>496</v>
      </c>
      <c r="H43" s="4"/>
    </row>
    <row r="44" spans="1:8" x14ac:dyDescent="0.2">
      <c r="A44" s="37" t="s">
        <v>29</v>
      </c>
      <c r="B44" s="975" t="s">
        <v>43</v>
      </c>
      <c r="C44" s="976"/>
      <c r="D44" s="976"/>
      <c r="E44" s="989"/>
      <c r="F44" s="106">
        <v>2.5000000000000001E-2</v>
      </c>
      <c r="G44" s="113">
        <f>ROUND((G$34)*F44,2)</f>
        <v>62</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37.200000000000003</v>
      </c>
      <c r="H46" s="4"/>
    </row>
    <row r="47" spans="1:8" x14ac:dyDescent="0.2">
      <c r="A47" s="37" t="s">
        <v>32</v>
      </c>
      <c r="B47" s="975" t="s">
        <v>46</v>
      </c>
      <c r="C47" s="976"/>
      <c r="D47" s="976"/>
      <c r="E47" s="989"/>
      <c r="F47" s="106">
        <v>0.01</v>
      </c>
      <c r="G47" s="113">
        <f t="shared" si="0"/>
        <v>24.8</v>
      </c>
      <c r="H47" s="4"/>
    </row>
    <row r="48" spans="1:8" x14ac:dyDescent="0.2">
      <c r="A48" s="37" t="s">
        <v>34</v>
      </c>
      <c r="B48" s="975" t="s">
        <v>47</v>
      </c>
      <c r="C48" s="976"/>
      <c r="D48" s="976"/>
      <c r="E48" s="989"/>
      <c r="F48" s="106">
        <v>6.0000000000000001E-3</v>
      </c>
      <c r="G48" s="113">
        <f t="shared" si="0"/>
        <v>14.88</v>
      </c>
      <c r="H48" s="4"/>
    </row>
    <row r="49" spans="1:8" x14ac:dyDescent="0.2">
      <c r="A49" s="37" t="s">
        <v>48</v>
      </c>
      <c r="B49" s="975" t="s">
        <v>49</v>
      </c>
      <c r="C49" s="976"/>
      <c r="D49" s="976"/>
      <c r="E49" s="989"/>
      <c r="F49" s="106">
        <v>2E-3</v>
      </c>
      <c r="G49" s="113">
        <f t="shared" si="0"/>
        <v>4.96</v>
      </c>
      <c r="H49" s="4"/>
    </row>
    <row r="50" spans="1:8" x14ac:dyDescent="0.2">
      <c r="A50" s="108" t="s">
        <v>50</v>
      </c>
      <c r="B50" s="977" t="s">
        <v>51</v>
      </c>
      <c r="C50" s="978"/>
      <c r="D50" s="978"/>
      <c r="E50" s="990"/>
      <c r="F50" s="109">
        <v>0.08</v>
      </c>
      <c r="G50" s="113">
        <f t="shared" si="0"/>
        <v>198.4</v>
      </c>
      <c r="H50" s="4"/>
    </row>
    <row r="51" spans="1:8" x14ac:dyDescent="0.2">
      <c r="A51" s="963" t="s">
        <v>52</v>
      </c>
      <c r="B51" s="964"/>
      <c r="C51" s="964"/>
      <c r="D51" s="964"/>
      <c r="E51" s="962"/>
      <c r="F51" s="42">
        <f>SUM(F43:F50)</f>
        <v>0.33800000000000002</v>
      </c>
      <c r="G51" s="112">
        <f>SUM(G43:G50)</f>
        <v>838.24</v>
      </c>
      <c r="H51" s="4">
        <f>ROUND(G34*F51,2)</f>
        <v>838.24</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52</v>
      </c>
      <c r="G53" s="14">
        <f>IF(ROUND((E53*F53)-(G27*0.06),2)&lt;0,0,ROUND((E53*F53)-(G27*0.06),2))</f>
        <v>0</v>
      </c>
      <c r="H53" s="36"/>
    </row>
    <row r="54" spans="1:8" s="35" customFormat="1" x14ac:dyDescent="0.2">
      <c r="A54" s="37" t="s">
        <v>29</v>
      </c>
      <c r="B54" s="981" t="s">
        <v>56</v>
      </c>
      <c r="C54" s="982"/>
      <c r="D54" s="982"/>
      <c r="E54" s="115">
        <f>20.76-1.39</f>
        <v>19.37</v>
      </c>
      <c r="F54" s="116">
        <v>26</v>
      </c>
      <c r="G54" s="103">
        <f>ROUND((E54*F54),2)</f>
        <v>503.62</v>
      </c>
      <c r="H54" s="36"/>
    </row>
    <row r="55" spans="1:8" s="35" customFormat="1" x14ac:dyDescent="0.2">
      <c r="A55" s="37" t="s">
        <v>30</v>
      </c>
      <c r="B55" s="981" t="s">
        <v>58</v>
      </c>
      <c r="C55" s="982"/>
      <c r="D55" s="982"/>
      <c r="E55" s="115">
        <v>144.68</v>
      </c>
      <c r="F55" s="116">
        <v>1</v>
      </c>
      <c r="G55" s="103">
        <f>ROUND((E55*F55),2)</f>
        <v>144.68</v>
      </c>
      <c r="H55" s="36"/>
    </row>
    <row r="56" spans="1:8" s="35" customFormat="1" x14ac:dyDescent="0.2">
      <c r="A56" s="37" t="s">
        <v>31</v>
      </c>
      <c r="B56" s="981" t="s">
        <v>149</v>
      </c>
      <c r="C56" s="982"/>
      <c r="D56" s="982"/>
      <c r="E56" s="115">
        <v>35.33</v>
      </c>
      <c r="F56" s="116">
        <v>1</v>
      </c>
      <c r="G56" s="103">
        <f>ROUND((E56*F56),2)</f>
        <v>35.33</v>
      </c>
      <c r="H56" s="36"/>
    </row>
    <row r="57" spans="1:8" s="35" customFormat="1" x14ac:dyDescent="0.2">
      <c r="A57" s="37" t="s">
        <v>32</v>
      </c>
      <c r="B57" s="981" t="s">
        <v>179</v>
      </c>
      <c r="C57" s="982"/>
      <c r="D57" s="982"/>
      <c r="E57" s="738">
        <f>ROUND((F18*30%)*5%,2)*0</f>
        <v>0</v>
      </c>
      <c r="F57" s="116">
        <v>1</v>
      </c>
      <c r="G57" s="103">
        <f>ROUND((E57*F57),2)</f>
        <v>0</v>
      </c>
      <c r="H57" s="36"/>
    </row>
    <row r="58" spans="1:8" s="35" customFormat="1" x14ac:dyDescent="0.2">
      <c r="A58" s="37" t="s">
        <v>34</v>
      </c>
      <c r="B58" s="981" t="s">
        <v>150</v>
      </c>
      <c r="C58" s="982"/>
      <c r="D58" s="982"/>
      <c r="E58" s="115">
        <f>20.76</f>
        <v>20.76</v>
      </c>
      <c r="F58" s="116">
        <v>1</v>
      </c>
      <c r="G58" s="103">
        <f>ROUND((E58*F58)/12,2)</f>
        <v>1.73</v>
      </c>
      <c r="H58" s="36"/>
    </row>
    <row r="59" spans="1:8" s="35" customFormat="1" x14ac:dyDescent="0.2">
      <c r="A59" s="37" t="s">
        <v>48</v>
      </c>
      <c r="B59" s="987" t="s">
        <v>180</v>
      </c>
      <c r="C59" s="988"/>
      <c r="D59" s="988"/>
      <c r="E59" s="115">
        <f>15.96</f>
        <v>15.96</v>
      </c>
      <c r="F59" s="117">
        <v>1</v>
      </c>
      <c r="G59" s="118">
        <f>ROUND((E59*F59),2)</f>
        <v>15.96</v>
      </c>
      <c r="H59" s="36"/>
    </row>
    <row r="60" spans="1:8" s="35" customFormat="1" x14ac:dyDescent="0.2">
      <c r="A60" s="37" t="s">
        <v>50</v>
      </c>
      <c r="B60" s="981" t="s">
        <v>254</v>
      </c>
      <c r="C60" s="982"/>
      <c r="D60" s="982"/>
      <c r="E60" s="115">
        <v>300</v>
      </c>
      <c r="F60" s="116">
        <v>1</v>
      </c>
      <c r="G60" s="103">
        <f>ROUND((E60*F60),2)</f>
        <v>300</v>
      </c>
      <c r="H60" s="36"/>
    </row>
    <row r="61" spans="1:8" s="35" customFormat="1" x14ac:dyDescent="0.2">
      <c r="A61" s="101" t="s">
        <v>151</v>
      </c>
      <c r="B61" s="981" t="s">
        <v>152</v>
      </c>
      <c r="C61" s="982"/>
      <c r="D61" s="982"/>
      <c r="E61" s="115">
        <v>0</v>
      </c>
      <c r="F61" s="116">
        <v>1</v>
      </c>
      <c r="G61" s="119">
        <f>ROUND((E61*F61),2)</f>
        <v>0</v>
      </c>
      <c r="H61" s="36"/>
    </row>
    <row r="62" spans="1:8" s="35" customFormat="1" x14ac:dyDescent="0.2">
      <c r="A62" s="37" t="s">
        <v>417</v>
      </c>
      <c r="B62" s="985" t="s">
        <v>152</v>
      </c>
      <c r="C62" s="986"/>
      <c r="D62" s="986"/>
      <c r="E62" s="120">
        <v>0</v>
      </c>
      <c r="F62" s="116">
        <v>1</v>
      </c>
      <c r="G62" s="103">
        <v>0</v>
      </c>
      <c r="H62" s="36"/>
    </row>
    <row r="63" spans="1:8" x14ac:dyDescent="0.2">
      <c r="A63" s="936" t="s">
        <v>60</v>
      </c>
      <c r="B63" s="937"/>
      <c r="C63" s="937"/>
      <c r="D63" s="937"/>
      <c r="E63" s="937"/>
      <c r="F63" s="938"/>
      <c r="G63" s="105">
        <f>SUM(G53:G62)</f>
        <v>1001.32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678.03</v>
      </c>
      <c r="H65" s="4"/>
    </row>
    <row r="66" spans="1:8" x14ac:dyDescent="0.2">
      <c r="A66" s="121" t="s">
        <v>64</v>
      </c>
      <c r="B66" s="927" t="s">
        <v>128</v>
      </c>
      <c r="C66" s="928"/>
      <c r="D66" s="928"/>
      <c r="E66" s="928"/>
      <c r="F66" s="18">
        <f>F51</f>
        <v>0.33800000000000002</v>
      </c>
      <c r="G66" s="122">
        <f>G51</f>
        <v>838.24</v>
      </c>
      <c r="H66" s="4"/>
    </row>
    <row r="67" spans="1:8" x14ac:dyDescent="0.2">
      <c r="A67" s="121" t="s">
        <v>65</v>
      </c>
      <c r="B67" s="927" t="s">
        <v>66</v>
      </c>
      <c r="C67" s="928"/>
      <c r="D67" s="928"/>
      <c r="E67" s="928"/>
      <c r="F67" s="929"/>
      <c r="G67" s="122">
        <f>G63</f>
        <v>1001.32</v>
      </c>
      <c r="H67" s="4"/>
    </row>
    <row r="68" spans="1:8" x14ac:dyDescent="0.2">
      <c r="A68" s="936" t="s">
        <v>67</v>
      </c>
      <c r="B68" s="937"/>
      <c r="C68" s="937"/>
      <c r="D68" s="937"/>
      <c r="E68" s="937"/>
      <c r="F68" s="938"/>
      <c r="G68" s="105">
        <f>SUM(G65:G67)</f>
        <v>2517.59</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EPI''s'!I17</f>
        <v>0</v>
      </c>
      <c r="F108" s="24">
        <v>1</v>
      </c>
      <c r="G108" s="103">
        <f>ROUND(SUM(C108:E108),2)*F108</f>
        <v>0</v>
      </c>
      <c r="H108" s="4"/>
    </row>
    <row r="109" spans="1:8" s="35" customFormat="1" x14ac:dyDescent="0.2">
      <c r="A109" s="37" t="s">
        <v>29</v>
      </c>
      <c r="B109" s="967" t="str">
        <f>'Uniformes e EPI''s'!A19</f>
        <v>EPI's</v>
      </c>
      <c r="C109" s="920"/>
      <c r="D109" s="920"/>
      <c r="E109" s="45">
        <f>'Uniformes e EPI''s'!H39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263.02999999999997</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263.02999999999997</v>
      </c>
      <c r="H127" s="4">
        <f ca="1">ROUND(G139*F127,2)</f>
        <v>263.02999999999997</v>
      </c>
    </row>
    <row r="128" spans="1:8" x14ac:dyDescent="0.2">
      <c r="A128" s="936" t="s">
        <v>104</v>
      </c>
      <c r="B128" s="937"/>
      <c r="C128" s="937"/>
      <c r="D128" s="937"/>
      <c r="E128" s="937"/>
      <c r="F128" s="23">
        <f>SUM(F119,F120,F127)</f>
        <v>0.05</v>
      </c>
      <c r="G128" s="126">
        <f ca="1">SUM(G119:G126)</f>
        <v>263.02999999999997</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2480</v>
      </c>
      <c r="H130" s="4"/>
    </row>
    <row r="131" spans="1:8" x14ac:dyDescent="0.2">
      <c r="A131" s="121" t="s">
        <v>29</v>
      </c>
      <c r="B131" s="927" t="s">
        <v>107</v>
      </c>
      <c r="C131" s="928"/>
      <c r="D131" s="928"/>
      <c r="E131" s="928"/>
      <c r="F131" s="929"/>
      <c r="G131" s="122">
        <f>G68</f>
        <v>2517.59</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4997.59</v>
      </c>
      <c r="H135" s="4"/>
    </row>
    <row r="136" spans="1:8" x14ac:dyDescent="0.2">
      <c r="A136" s="121" t="s">
        <v>34</v>
      </c>
      <c r="B136" s="933" t="s">
        <v>112</v>
      </c>
      <c r="C136" s="934"/>
      <c r="D136" s="934"/>
      <c r="E136" s="934"/>
      <c r="F136" s="935"/>
      <c r="G136" s="122">
        <f ca="1">G128</f>
        <v>263.02999999999997</v>
      </c>
      <c r="H136" s="4"/>
    </row>
    <row r="137" spans="1:8" x14ac:dyDescent="0.2">
      <c r="A137" s="936" t="s">
        <v>113</v>
      </c>
      <c r="B137" s="937"/>
      <c r="C137" s="937"/>
      <c r="D137" s="937"/>
      <c r="E137" s="937"/>
      <c r="F137" s="938"/>
      <c r="G137" s="105">
        <f ca="1">SUM(G135:G136)</f>
        <v>5260.62</v>
      </c>
      <c r="H137" s="4">
        <f ca="1">SUM(G130:G136)-G135</f>
        <v>5260.62</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5260.62</v>
      </c>
      <c r="H139" s="4"/>
    </row>
    <row r="140" spans="1:8" x14ac:dyDescent="0.2">
      <c r="A140" s="766"/>
      <c r="B140" s="767" t="s">
        <v>115</v>
      </c>
      <c r="C140" s="767"/>
      <c r="D140" s="767"/>
      <c r="E140" s="767"/>
      <c r="F140" s="768">
        <f>F21</f>
        <v>1</v>
      </c>
      <c r="G140" s="769">
        <f ca="1">G139*F140</f>
        <v>5260.62</v>
      </c>
      <c r="H140" s="4"/>
    </row>
    <row r="141" spans="1:8" x14ac:dyDescent="0.2">
      <c r="F141" s="306"/>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M192"/>
  <sheetViews>
    <sheetView showGridLines="0" view="pageBreakPreview" topLeftCell="A49" zoomScale="115" zoomScaleNormal="100" zoomScaleSheetLayoutView="115" workbookViewId="0">
      <selection activeCell="H72" sqref="H72"/>
    </sheetView>
  </sheetViews>
  <sheetFormatPr defaultColWidth="11.42578125" defaultRowHeight="16.5" x14ac:dyDescent="0.3"/>
  <cols>
    <col min="1" max="1" width="3" style="57" bestFit="1" customWidth="1"/>
    <col min="2" max="2" width="44.28515625" style="57" customWidth="1"/>
    <col min="3" max="6" width="14.5703125" style="57" customWidth="1"/>
    <col min="7" max="7" width="17.7109375" style="57" customWidth="1"/>
    <col min="8" max="8" width="14.5703125" style="57" customWidth="1"/>
    <col min="9" max="9" width="14.140625" style="57" bestFit="1" customWidth="1"/>
    <col min="10" max="16384" width="11.42578125" style="57"/>
  </cols>
  <sheetData>
    <row r="1" spans="2:12" s="34" customFormat="1" ht="26.25" customHeight="1" x14ac:dyDescent="0.3">
      <c r="B1" s="1093" t="s">
        <v>474</v>
      </c>
      <c r="C1" s="1094"/>
      <c r="D1" s="1094"/>
      <c r="E1" s="1094"/>
      <c r="F1" s="1094"/>
      <c r="G1" s="1094"/>
      <c r="H1" s="1095"/>
      <c r="I1" s="57"/>
      <c r="L1" s="51"/>
    </row>
    <row r="2" spans="2:12" s="34" customFormat="1" ht="26.25" customHeight="1" thickBot="1" x14ac:dyDescent="0.35">
      <c r="B2" s="1096" t="s">
        <v>513</v>
      </c>
      <c r="C2" s="1097"/>
      <c r="D2" s="1097"/>
      <c r="E2" s="1097"/>
      <c r="F2" s="1097"/>
      <c r="G2" s="1097"/>
      <c r="H2" s="1098"/>
      <c r="I2" s="57"/>
      <c r="L2" s="51"/>
    </row>
    <row r="3" spans="2:12" s="34" customFormat="1" ht="38.25" customHeight="1" thickBot="1" x14ac:dyDescent="0.35">
      <c r="B3" s="1099" t="s">
        <v>392</v>
      </c>
      <c r="C3" s="1100"/>
      <c r="D3" s="1100"/>
      <c r="E3" s="1100"/>
      <c r="F3" s="1100"/>
      <c r="G3" s="1100"/>
      <c r="H3" s="1101"/>
      <c r="I3" s="57"/>
      <c r="J3" s="1073"/>
      <c r="K3" s="1073"/>
      <c r="L3" s="51"/>
    </row>
    <row r="4" spans="2:12" ht="15.95" customHeight="1" x14ac:dyDescent="0.3">
      <c r="B4" s="1088" t="s">
        <v>159</v>
      </c>
      <c r="C4" s="1089"/>
      <c r="D4" s="1089"/>
      <c r="E4" s="1089"/>
      <c r="F4" s="1089"/>
      <c r="G4" s="1089"/>
      <c r="H4" s="1090"/>
    </row>
    <row r="5" spans="2:12" ht="15.95" customHeight="1" thickBot="1" x14ac:dyDescent="0.35">
      <c r="B5" s="1088"/>
      <c r="C5" s="1089"/>
      <c r="D5" s="1089"/>
      <c r="E5" s="1089"/>
      <c r="F5" s="1089"/>
      <c r="G5" s="1089"/>
      <c r="H5" s="1090"/>
    </row>
    <row r="6" spans="2:12" ht="15.95" customHeight="1" thickBot="1" x14ac:dyDescent="0.35">
      <c r="B6" s="167" t="s">
        <v>174</v>
      </c>
      <c r="C6" s="1240" t="s">
        <v>485</v>
      </c>
      <c r="D6" s="1241"/>
      <c r="E6" s="1241"/>
      <c r="F6" s="1241"/>
      <c r="G6" s="1241"/>
      <c r="H6" s="1242"/>
    </row>
    <row r="7" spans="2:12" ht="48.6" customHeight="1" thickBot="1" x14ac:dyDescent="0.35">
      <c r="B7" s="146" t="s">
        <v>193</v>
      </c>
      <c r="C7" s="168" t="s">
        <v>173</v>
      </c>
      <c r="D7" s="486" t="s">
        <v>442</v>
      </c>
      <c r="E7" s="488" t="s">
        <v>244</v>
      </c>
      <c r="F7" s="487" t="s">
        <v>441</v>
      </c>
      <c r="G7" s="82"/>
      <c r="H7" s="72"/>
    </row>
    <row r="8" spans="2:12" ht="15.95" customHeight="1" x14ac:dyDescent="0.3">
      <c r="B8" s="694" t="s">
        <v>237</v>
      </c>
      <c r="C8" s="695">
        <v>705.07</v>
      </c>
      <c r="D8" s="696">
        <v>800</v>
      </c>
      <c r="E8" s="697">
        <f>C8/D8</f>
        <v>0.88</v>
      </c>
      <c r="F8" s="1254">
        <f>ROUNDDOWN(SUM(E8:E12),0)</f>
        <v>6</v>
      </c>
      <c r="G8" s="1074">
        <f>SUM(C8:C12)</f>
        <v>13958</v>
      </c>
      <c r="H8" s="72"/>
    </row>
    <row r="9" spans="2:12" ht="15.95" customHeight="1" x14ac:dyDescent="0.3">
      <c r="B9" s="698" t="s">
        <v>248</v>
      </c>
      <c r="C9" s="699">
        <v>13026.31</v>
      </c>
      <c r="D9" s="700">
        <v>3000</v>
      </c>
      <c r="E9" s="701">
        <f t="shared" ref="E9:E13" si="0">C9/D9</f>
        <v>4.34</v>
      </c>
      <c r="F9" s="1255"/>
      <c r="G9" s="1074"/>
      <c r="H9" s="72"/>
    </row>
    <row r="10" spans="2:12" ht="15.95" customHeight="1" x14ac:dyDescent="0.3">
      <c r="B10" s="698" t="s">
        <v>411</v>
      </c>
      <c r="C10" s="699">
        <v>151.77000000000001</v>
      </c>
      <c r="D10" s="702">
        <v>300</v>
      </c>
      <c r="E10" s="701">
        <f t="shared" si="0"/>
        <v>0.51</v>
      </c>
      <c r="F10" s="1255"/>
      <c r="G10" s="1074"/>
      <c r="H10" s="72"/>
    </row>
    <row r="11" spans="2:12" ht="15.95" customHeight="1" x14ac:dyDescent="0.3">
      <c r="B11" s="698" t="s">
        <v>239</v>
      </c>
      <c r="C11" s="699">
        <v>74.349999999999994</v>
      </c>
      <c r="D11" s="702">
        <v>200</v>
      </c>
      <c r="E11" s="701">
        <f t="shared" si="0"/>
        <v>0.37</v>
      </c>
      <c r="F11" s="1255"/>
      <c r="G11" s="1074"/>
      <c r="H11" s="72"/>
    </row>
    <row r="12" spans="2:12" ht="15.95" customHeight="1" x14ac:dyDescent="0.3">
      <c r="B12" s="698" t="s">
        <v>408</v>
      </c>
      <c r="C12" s="699">
        <v>0</v>
      </c>
      <c r="D12" s="702">
        <v>200</v>
      </c>
      <c r="E12" s="701">
        <f t="shared" si="0"/>
        <v>0</v>
      </c>
      <c r="F12" s="1255"/>
      <c r="G12" s="1074"/>
      <c r="H12" s="72"/>
    </row>
    <row r="13" spans="2:12" ht="15.95" customHeight="1" thickBot="1" x14ac:dyDescent="0.35">
      <c r="B13" s="485" t="s">
        <v>238</v>
      </c>
      <c r="C13" s="703">
        <v>39805</v>
      </c>
      <c r="D13" s="704">
        <v>20000</v>
      </c>
      <c r="E13" s="705">
        <f t="shared" si="0"/>
        <v>1.99</v>
      </c>
      <c r="F13" s="706">
        <f>ROUNDUP(SUM(E13),0)</f>
        <v>2</v>
      </c>
      <c r="G13" s="308"/>
      <c r="H13" s="72"/>
      <c r="I13" s="154"/>
    </row>
    <row r="14" spans="2:12" ht="15.95" customHeight="1" x14ac:dyDescent="0.3">
      <c r="B14" s="1243" t="str">
        <f>'Agente de Higienização_CEPRE'!F16</f>
        <v>Agente de Higienização</v>
      </c>
      <c r="C14" s="1244"/>
      <c r="D14" s="1244"/>
      <c r="E14" s="1244"/>
      <c r="F14" s="693">
        <f>'Agente de Higienização_CEPRE'!F22</f>
        <v>5</v>
      </c>
      <c r="G14" s="136"/>
      <c r="H14" s="72"/>
    </row>
    <row r="15" spans="2:12" ht="15.95" customHeight="1" x14ac:dyDescent="0.3">
      <c r="B15" s="1251" t="str">
        <f>Jardineiro_CEPRE!F16</f>
        <v>Jardineiro</v>
      </c>
      <c r="C15" s="1252"/>
      <c r="D15" s="1252"/>
      <c r="E15" s="1253"/>
      <c r="F15" s="477">
        <f>Jardineiro_CEPRE!F22</f>
        <v>1</v>
      </c>
      <c r="G15" s="136"/>
      <c r="H15" s="72"/>
    </row>
    <row r="16" spans="2:12" ht="15.95" customHeight="1" x14ac:dyDescent="0.3">
      <c r="B16" s="1079" t="str">
        <f>Tratorista_CEPRE!F16</f>
        <v>Tratorista</v>
      </c>
      <c r="C16" s="1080"/>
      <c r="D16" s="1080"/>
      <c r="E16" s="1080"/>
      <c r="F16" s="178">
        <f>Tratorista_CEPRE!F22</f>
        <v>1</v>
      </c>
      <c r="G16" s="137"/>
      <c r="H16" s="72"/>
    </row>
    <row r="17" spans="2:8" ht="15.95" customHeight="1" x14ac:dyDescent="0.3">
      <c r="B17" s="1245" t="str">
        <f>'Ajudante de Serviços_CEPRE'!F16</f>
        <v>Ajudante de Serviços Diversos</v>
      </c>
      <c r="C17" s="1246"/>
      <c r="D17" s="1246"/>
      <c r="E17" s="1247"/>
      <c r="F17" s="561">
        <f>'Ajudante de Serviços_CEPRE'!F22</f>
        <v>1</v>
      </c>
      <c r="G17" s="137"/>
      <c r="H17" s="72"/>
    </row>
    <row r="18" spans="2:8" ht="15.95" customHeight="1" x14ac:dyDescent="0.3">
      <c r="B18" s="1248" t="str">
        <f>Líder_CEPRE!F16</f>
        <v>Agente de Higienização - Líder</v>
      </c>
      <c r="C18" s="1249"/>
      <c r="D18" s="1249"/>
      <c r="E18" s="1250"/>
      <c r="F18" s="268">
        <f>Líder_CEPRE!F22</f>
        <v>1</v>
      </c>
      <c r="G18" s="137"/>
      <c r="H18" s="72"/>
    </row>
    <row r="19" spans="2:8" ht="15.95" customHeight="1" thickBot="1" x14ac:dyDescent="0.35">
      <c r="B19" s="1081" t="s">
        <v>449</v>
      </c>
      <c r="C19" s="1082"/>
      <c r="D19" s="1082"/>
      <c r="E19" s="1082"/>
      <c r="F19" s="161">
        <f>SUM(F14:F18)</f>
        <v>9</v>
      </c>
      <c r="G19" s="138"/>
      <c r="H19" s="72"/>
    </row>
    <row r="20" spans="2:8" ht="15.95" customHeight="1" thickBot="1" x14ac:dyDescent="0.35">
      <c r="B20" s="179"/>
      <c r="C20" s="59"/>
      <c r="D20" s="58"/>
      <c r="E20" s="59"/>
      <c r="F20" s="59"/>
      <c r="G20" s="59"/>
      <c r="H20" s="72"/>
    </row>
    <row r="21" spans="2:8" ht="29.45" customHeight="1" thickBot="1" x14ac:dyDescent="0.35">
      <c r="B21" s="83" t="s">
        <v>194</v>
      </c>
      <c r="C21" s="180" t="s">
        <v>178</v>
      </c>
      <c r="D21" s="82"/>
      <c r="E21" s="82"/>
      <c r="F21" s="59"/>
      <c r="G21" s="59"/>
      <c r="H21" s="72"/>
    </row>
    <row r="22" spans="2:8" ht="15.95" customHeight="1" x14ac:dyDescent="0.3">
      <c r="B22" s="315" t="str">
        <f>B14</f>
        <v>Agente de Higienização</v>
      </c>
      <c r="C22" s="182">
        <f ca="1">'Agente de Higienização_CEPRE'!G140</f>
        <v>4996.6899999999996</v>
      </c>
      <c r="D22" s="81"/>
      <c r="E22" s="81"/>
      <c r="F22" s="59"/>
      <c r="G22" s="59"/>
      <c r="H22" s="74"/>
    </row>
    <row r="23" spans="2:8" ht="15.95" customHeight="1" x14ac:dyDescent="0.3">
      <c r="B23" s="315" t="str">
        <f t="shared" ref="B23:B26" si="1">B15</f>
        <v>Jardineiro</v>
      </c>
      <c r="C23" s="182">
        <f ca="1">Jardineiro_CEPRE!G140</f>
        <v>3958.02</v>
      </c>
      <c r="D23" s="81"/>
      <c r="E23" s="81"/>
      <c r="F23" s="59"/>
      <c r="G23" s="59"/>
      <c r="H23" s="74"/>
    </row>
    <row r="24" spans="2:8" ht="15.95" customHeight="1" x14ac:dyDescent="0.3">
      <c r="B24" s="315" t="str">
        <f t="shared" si="1"/>
        <v>Tratorista</v>
      </c>
      <c r="C24" s="182">
        <f ca="1">Tratorista_CEPRE!G140</f>
        <v>4272.07</v>
      </c>
      <c r="D24" s="81"/>
      <c r="E24" s="81"/>
      <c r="F24" s="59"/>
      <c r="G24" s="59"/>
      <c r="H24" s="74"/>
    </row>
    <row r="25" spans="2:8" ht="15.95" customHeight="1" x14ac:dyDescent="0.3">
      <c r="B25" s="315" t="str">
        <f t="shared" si="1"/>
        <v>Ajudante de Serviços Diversos</v>
      </c>
      <c r="C25" s="182">
        <f ca="1">'Ajudante de Serviços_CEPRE'!G142</f>
        <v>4751.37</v>
      </c>
      <c r="D25" s="81"/>
      <c r="E25" s="81"/>
      <c r="F25" s="59"/>
      <c r="G25" s="59"/>
      <c r="H25" s="74"/>
    </row>
    <row r="26" spans="2:8" ht="15.95" customHeight="1" thickBot="1" x14ac:dyDescent="0.35">
      <c r="B26" s="315" t="str">
        <f t="shared" si="1"/>
        <v>Agente de Higienização - Líder</v>
      </c>
      <c r="C26" s="335">
        <f ca="1">Líder_CEPRE!G140</f>
        <v>5260.62</v>
      </c>
      <c r="D26" s="81"/>
      <c r="E26" s="81"/>
      <c r="F26" s="59"/>
      <c r="G26" s="59"/>
      <c r="H26" s="74"/>
    </row>
    <row r="27" spans="2:8" ht="15.95" customHeight="1" thickBot="1" x14ac:dyDescent="0.35">
      <c r="B27" s="179"/>
      <c r="C27" s="59"/>
      <c r="D27" s="58"/>
      <c r="E27" s="59"/>
      <c r="F27" s="59"/>
      <c r="G27" s="59"/>
      <c r="H27" s="72"/>
    </row>
    <row r="28" spans="2:8" ht="28.5" customHeight="1" thickBot="1" x14ac:dyDescent="0.35">
      <c r="B28" s="183" t="s">
        <v>165</v>
      </c>
      <c r="C28" s="184" t="s">
        <v>177</v>
      </c>
      <c r="D28" s="184" t="s">
        <v>172</v>
      </c>
      <c r="E28" s="184" t="s">
        <v>171</v>
      </c>
      <c r="F28" s="59"/>
      <c r="G28" s="59"/>
      <c r="H28" s="72"/>
    </row>
    <row r="29" spans="2:8" s="61" customFormat="1" ht="15.95" customHeight="1" x14ac:dyDescent="0.3">
      <c r="B29" s="185" t="s">
        <v>163</v>
      </c>
      <c r="C29" s="186"/>
      <c r="D29" s="186"/>
      <c r="E29" s="187"/>
      <c r="F29" s="59"/>
      <c r="G29" s="59"/>
      <c r="H29" s="72"/>
    </row>
    <row r="30" spans="2:8" s="61" customFormat="1" ht="15.95" customHeight="1" x14ac:dyDescent="0.3">
      <c r="B30" s="181" t="str">
        <f>B22</f>
        <v>Agente de Higienização</v>
      </c>
      <c r="C30" s="469">
        <f>ROUND(1/(26*D$8),9)</f>
        <v>4.8077000000000001E-5</v>
      </c>
      <c r="D30" s="62">
        <f ca="1">C22</f>
        <v>4996.6899999999996</v>
      </c>
      <c r="E30" s="78">
        <f ca="1">ROUND(D30*C30,2)</f>
        <v>0.24</v>
      </c>
      <c r="F30" s="59"/>
      <c r="G30" s="59"/>
      <c r="H30" s="72"/>
    </row>
    <row r="31" spans="2:8" s="61" customFormat="1" ht="15.95" customHeight="1" x14ac:dyDescent="0.3">
      <c r="B31" s="316" t="str">
        <f>B26</f>
        <v>Agente de Higienização - Líder</v>
      </c>
      <c r="C31" s="469">
        <f>ROUND(1/(26*D$8),9)</f>
        <v>4.8077000000000001E-5</v>
      </c>
      <c r="D31" s="318">
        <f ca="1">C26</f>
        <v>5260.62</v>
      </c>
      <c r="E31" s="78">
        <f ca="1">ROUND(D31*C31,2)</f>
        <v>0.25</v>
      </c>
      <c r="F31" s="59"/>
      <c r="G31" s="59"/>
      <c r="H31" s="72"/>
    </row>
    <row r="32" spans="2:8" s="61" customFormat="1" ht="15.95" customHeight="1" thickBot="1" x14ac:dyDescent="0.35">
      <c r="B32" s="324"/>
      <c r="C32" s="1116" t="s">
        <v>170</v>
      </c>
      <c r="D32" s="1117"/>
      <c r="E32" s="333">
        <f ca="1">SUM(E30:E31)</f>
        <v>0.49</v>
      </c>
      <c r="F32" s="59"/>
      <c r="G32" s="59"/>
      <c r="H32" s="72"/>
    </row>
    <row r="33" spans="2:8" s="61" customFormat="1" ht="30.75" customHeight="1" thickBot="1" x14ac:dyDescent="0.35">
      <c r="B33" s="183" t="s">
        <v>165</v>
      </c>
      <c r="C33" s="184" t="s">
        <v>177</v>
      </c>
      <c r="D33" s="184" t="s">
        <v>172</v>
      </c>
      <c r="E33" s="184" t="s">
        <v>171</v>
      </c>
      <c r="F33" s="59"/>
      <c r="G33" s="59"/>
      <c r="H33" s="72"/>
    </row>
    <row r="34" spans="2:8" s="61" customFormat="1" ht="15.95" customHeight="1" x14ac:dyDescent="0.3">
      <c r="B34" s="185" t="s">
        <v>161</v>
      </c>
      <c r="C34" s="186"/>
      <c r="D34" s="186"/>
      <c r="E34" s="187"/>
      <c r="F34" s="59"/>
      <c r="G34" s="59"/>
      <c r="H34" s="72"/>
    </row>
    <row r="35" spans="2:8" s="61" customFormat="1" ht="15.95" customHeight="1" x14ac:dyDescent="0.3">
      <c r="B35" s="181" t="str">
        <f>B22</f>
        <v>Agente de Higienização</v>
      </c>
      <c r="C35" s="479">
        <f>ROUND(1/(4*D$9),9)</f>
        <v>8.3332999999999996E-5</v>
      </c>
      <c r="D35" s="480">
        <f ca="1">C22</f>
        <v>4996.6899999999996</v>
      </c>
      <c r="E35" s="78">
        <f ca="1">ROUND(D35*C35,2)</f>
        <v>0.42</v>
      </c>
      <c r="F35" s="59"/>
      <c r="G35" s="59"/>
      <c r="H35" s="72"/>
    </row>
    <row r="36" spans="2:8" s="61" customFormat="1" ht="15.95" customHeight="1" x14ac:dyDescent="0.3">
      <c r="B36" s="322" t="str">
        <f>B26</f>
        <v>Agente de Higienização - Líder</v>
      </c>
      <c r="C36" s="479">
        <f>ROUND(1/(26*D$9),9)</f>
        <v>1.2821E-5</v>
      </c>
      <c r="D36" s="323">
        <f ca="1">C26</f>
        <v>5260.62</v>
      </c>
      <c r="E36" s="312">
        <f ca="1">ROUND(D36*C36,2)</f>
        <v>7.0000000000000007E-2</v>
      </c>
      <c r="F36" s="59"/>
      <c r="G36" s="59"/>
      <c r="H36" s="72"/>
    </row>
    <row r="37" spans="2:8" s="61" customFormat="1" ht="15.95" customHeight="1" thickBot="1" x14ac:dyDescent="0.35">
      <c r="B37" s="310"/>
      <c r="C37" s="1114" t="s">
        <v>169</v>
      </c>
      <c r="D37" s="1115"/>
      <c r="E37" s="311">
        <f ca="1">SUM(E35:E36)</f>
        <v>0.49</v>
      </c>
      <c r="F37" s="59"/>
      <c r="G37" s="59"/>
      <c r="H37" s="72"/>
    </row>
    <row r="38" spans="2:8" s="61" customFormat="1" ht="15.95" customHeight="1" x14ac:dyDescent="0.3">
      <c r="B38" s="144" t="s">
        <v>240</v>
      </c>
      <c r="C38" s="65"/>
      <c r="D38" s="65"/>
      <c r="E38" s="309"/>
      <c r="F38" s="59"/>
      <c r="G38" s="59"/>
      <c r="H38" s="72"/>
    </row>
    <row r="39" spans="2:8" s="61" customFormat="1" ht="15.95" customHeight="1" x14ac:dyDescent="0.3">
      <c r="B39" s="321" t="str">
        <f>B22</f>
        <v>Agente de Higienização</v>
      </c>
      <c r="C39" s="482">
        <f t="shared" ref="C39:C40" si="2">ROUND(1/(26*D$11),9)</f>
        <v>1.92308E-4</v>
      </c>
      <c r="D39" s="481">
        <f ca="1">C22</f>
        <v>4996.6899999999996</v>
      </c>
      <c r="E39" s="78">
        <f ca="1">ROUND(D39*C39,2)</f>
        <v>0.96</v>
      </c>
      <c r="F39" s="59"/>
      <c r="G39" s="59"/>
      <c r="H39" s="72"/>
    </row>
    <row r="40" spans="2:8" s="61" customFormat="1" ht="15.95" customHeight="1" x14ac:dyDescent="0.3">
      <c r="B40" s="316" t="str">
        <f>B26</f>
        <v>Agente de Higienização - Líder</v>
      </c>
      <c r="C40" s="484">
        <f t="shared" si="2"/>
        <v>1.92308E-4</v>
      </c>
      <c r="D40" s="483">
        <f ca="1">C26</f>
        <v>5260.62</v>
      </c>
      <c r="E40" s="63">
        <f ca="1">ROUND(D40*C40,2)</f>
        <v>1.01</v>
      </c>
      <c r="F40" s="59"/>
      <c r="G40" s="59"/>
      <c r="H40" s="72"/>
    </row>
    <row r="41" spans="2:8" s="64" customFormat="1" ht="15.95" customHeight="1" thickBot="1" x14ac:dyDescent="0.35">
      <c r="B41" s="324"/>
      <c r="C41" s="1116" t="s">
        <v>241</v>
      </c>
      <c r="D41" s="1117"/>
      <c r="E41" s="333">
        <f ca="1">SUM(E39:E40)</f>
        <v>1.97</v>
      </c>
      <c r="F41" s="59"/>
      <c r="G41" s="59"/>
      <c r="H41" s="72"/>
    </row>
    <row r="42" spans="2:8" s="64" customFormat="1" ht="15.95" customHeight="1" x14ac:dyDescent="0.3">
      <c r="B42" s="144" t="s">
        <v>409</v>
      </c>
      <c r="C42" s="65"/>
      <c r="D42" s="65"/>
      <c r="E42" s="187"/>
      <c r="F42" s="59"/>
      <c r="G42" s="59"/>
      <c r="H42" s="72"/>
    </row>
    <row r="43" spans="2:8" s="64" customFormat="1" ht="15.95" customHeight="1" x14ac:dyDescent="0.3">
      <c r="B43" s="299" t="str">
        <f>B22</f>
        <v>Agente de Higienização</v>
      </c>
      <c r="C43" s="190">
        <f>ROUND(1/(26*D12),9)</f>
        <v>1.92308E-4</v>
      </c>
      <c r="D43" s="191">
        <f ca="1">C22*0</f>
        <v>0</v>
      </c>
      <c r="E43" s="63">
        <f ca="1">ROUND(D43*C43,2)</f>
        <v>0</v>
      </c>
      <c r="F43" s="59"/>
      <c r="G43" s="59"/>
      <c r="H43" s="72"/>
    </row>
    <row r="44" spans="2:8" s="64" customFormat="1" ht="15.95" customHeight="1" x14ac:dyDescent="0.3">
      <c r="B44" s="326" t="str">
        <f>B26</f>
        <v>Agente de Higienização - Líder</v>
      </c>
      <c r="C44" s="317">
        <f>ROUND(1/(26*D$12),9)</f>
        <v>1.92308E-4</v>
      </c>
      <c r="D44" s="318">
        <f ca="1">C26*0</f>
        <v>0</v>
      </c>
      <c r="E44" s="63">
        <f ca="1">ROUND(D44*C44,2)</f>
        <v>0</v>
      </c>
      <c r="F44" s="59"/>
      <c r="G44" s="59"/>
      <c r="H44" s="72"/>
    </row>
    <row r="45" spans="2:8" s="64" customFormat="1" ht="15.95" customHeight="1" thickBot="1" x14ac:dyDescent="0.35">
      <c r="B45" s="324"/>
      <c r="C45" s="1116" t="s">
        <v>241</v>
      </c>
      <c r="D45" s="1117"/>
      <c r="E45" s="333">
        <f ca="1">SUM(E43:E44)</f>
        <v>0</v>
      </c>
      <c r="F45" s="59"/>
      <c r="G45" s="59"/>
      <c r="H45" s="72"/>
    </row>
    <row r="46" spans="2:8" s="61" customFormat="1" ht="15.95" customHeight="1" thickBot="1" x14ac:dyDescent="0.35">
      <c r="B46" s="193"/>
      <c r="C46" s="59"/>
      <c r="D46" s="58"/>
      <c r="E46" s="59"/>
      <c r="F46" s="58"/>
      <c r="G46" s="59"/>
      <c r="H46" s="72"/>
    </row>
    <row r="47" spans="2:8" s="61" customFormat="1" ht="15.95" customHeight="1" thickBot="1" x14ac:dyDescent="0.35">
      <c r="B47" s="1075" t="s">
        <v>165</v>
      </c>
      <c r="C47" s="1076" t="s">
        <v>177</v>
      </c>
      <c r="D47" s="1076" t="s">
        <v>245</v>
      </c>
      <c r="E47" s="1076" t="s">
        <v>246</v>
      </c>
      <c r="F47" s="1076" t="s">
        <v>168</v>
      </c>
      <c r="G47" s="1076" t="s">
        <v>167</v>
      </c>
      <c r="H47" s="1104" t="s">
        <v>166</v>
      </c>
    </row>
    <row r="48" spans="2:8" s="61" customFormat="1" ht="36" customHeight="1" thickBot="1" x14ac:dyDescent="0.35">
      <c r="B48" s="1075"/>
      <c r="C48" s="1076"/>
      <c r="D48" s="1076"/>
      <c r="E48" s="1076"/>
      <c r="F48" s="1076"/>
      <c r="G48" s="1076"/>
      <c r="H48" s="1104"/>
    </row>
    <row r="49" spans="1:247" s="61" customFormat="1" ht="15.95" customHeight="1" x14ac:dyDescent="0.3">
      <c r="B49" s="194" t="s">
        <v>311</v>
      </c>
      <c r="C49" s="195"/>
      <c r="D49" s="195"/>
      <c r="E49" s="195"/>
      <c r="F49" s="195"/>
      <c r="G49" s="195"/>
      <c r="H49" s="196"/>
    </row>
    <row r="50" spans="1:247" s="61" customFormat="1" ht="15.95" customHeight="1" x14ac:dyDescent="0.3">
      <c r="B50" s="75" t="str">
        <f>B22</f>
        <v>Agente de Higienização</v>
      </c>
      <c r="C50" s="190">
        <f>ROUND(1/D$10,9)</f>
        <v>3.333333E-3</v>
      </c>
      <c r="D50" s="197">
        <f>ROUNDUP(((C$10/D$10)*8),2)</f>
        <v>4</v>
      </c>
      <c r="E50" s="198">
        <f>ROUND(1/188.76,9)</f>
        <v>5.2977329999999998E-3</v>
      </c>
      <c r="F50" s="199">
        <f>ROUND(((C50)*(E50)*(D50)),9)</f>
        <v>7.0636000000000006E-5</v>
      </c>
      <c r="G50" s="200">
        <f ca="1">C22</f>
        <v>4996.6899999999996</v>
      </c>
      <c r="H50" s="201">
        <f ca="1">ROUND(G50*F50,2)</f>
        <v>0.35</v>
      </c>
    </row>
    <row r="51" spans="1:247" s="61" customFormat="1" ht="15.95" customHeight="1" x14ac:dyDescent="0.3">
      <c r="B51" s="316" t="str">
        <f>B26</f>
        <v>Agente de Higienização - Líder</v>
      </c>
      <c r="C51" s="317">
        <f>ROUND(1/(26*D10),9)</f>
        <v>1.28205E-4</v>
      </c>
      <c r="D51" s="197">
        <f t="shared" ref="D51" si="3">ROUNDUP(((C$10/D$10)*8),2)</f>
        <v>4</v>
      </c>
      <c r="E51" s="331">
        <f>ROUND(1/188.76,9)</f>
        <v>5.2977329999999998E-3</v>
      </c>
      <c r="F51" s="332">
        <f>ROUND(((C51)*(E51)*(D51)),9)</f>
        <v>2.717E-6</v>
      </c>
      <c r="G51" s="318">
        <f ca="1">C26</f>
        <v>5260.62</v>
      </c>
      <c r="H51" s="201">
        <f ca="1">ROUND(G51*F51,2)</f>
        <v>0.01</v>
      </c>
    </row>
    <row r="52" spans="1:247" s="61" customFormat="1" ht="15.95" customHeight="1" thickBot="1" x14ac:dyDescent="0.35">
      <c r="B52" s="327"/>
      <c r="C52" s="328"/>
      <c r="D52" s="328"/>
      <c r="E52" s="328"/>
      <c r="F52" s="328"/>
      <c r="G52" s="329" t="s">
        <v>312</v>
      </c>
      <c r="H52" s="330">
        <f ca="1">ROUND(SUM(H50:H51),2)</f>
        <v>0.36</v>
      </c>
    </row>
    <row r="53" spans="1:247" s="67" customFormat="1" ht="15.95" customHeight="1" thickBot="1" x14ac:dyDescent="0.35">
      <c r="A53" s="142"/>
      <c r="B53" s="206"/>
      <c r="C53" s="140"/>
      <c r="D53" s="140"/>
      <c r="E53" s="140"/>
      <c r="F53" s="140"/>
      <c r="G53" s="141"/>
      <c r="H53" s="143"/>
    </row>
    <row r="54" spans="1:247" s="61" customFormat="1" ht="26.25" thickBot="1" x14ac:dyDescent="0.35">
      <c r="B54" s="183" t="s">
        <v>165</v>
      </c>
      <c r="C54" s="184" t="s">
        <v>177</v>
      </c>
      <c r="D54" s="184" t="s">
        <v>172</v>
      </c>
      <c r="E54" s="184" t="s">
        <v>171</v>
      </c>
      <c r="F54" s="59"/>
      <c r="G54" s="59"/>
      <c r="H54" s="72"/>
    </row>
    <row r="55" spans="1:247" s="61" customFormat="1" ht="15.95" customHeight="1" x14ac:dyDescent="0.3">
      <c r="B55" s="185" t="s">
        <v>242</v>
      </c>
      <c r="C55" s="186"/>
      <c r="D55" s="186"/>
      <c r="E55" s="187"/>
      <c r="F55" s="59"/>
      <c r="G55" s="59"/>
      <c r="H55" s="72"/>
    </row>
    <row r="56" spans="1:247" s="64" customFormat="1" ht="15.95" customHeight="1" x14ac:dyDescent="0.3">
      <c r="B56" s="181" t="str">
        <f>B23</f>
        <v>Jardineiro</v>
      </c>
      <c r="C56" s="469">
        <f>ROUND(1/(D$13),9)</f>
        <v>5.0000000000000002E-5</v>
      </c>
      <c r="D56" s="62">
        <f ca="1">C23</f>
        <v>3958.02</v>
      </c>
      <c r="E56" s="78">
        <f ca="1">ROUND(D56*C56,2)</f>
        <v>0.2</v>
      </c>
      <c r="F56" s="59"/>
      <c r="G56" s="59"/>
      <c r="H56" s="72"/>
    </row>
    <row r="57" spans="1:247" s="64" customFormat="1" ht="15.95" customHeight="1" x14ac:dyDescent="0.3">
      <c r="B57" s="181" t="str">
        <f t="shared" ref="B57" si="4">B24</f>
        <v>Tratorista</v>
      </c>
      <c r="C57" s="469">
        <f t="shared" ref="C57" si="5">ROUND(1/(D$13),9)</f>
        <v>5.0000000000000002E-5</v>
      </c>
      <c r="D57" s="62">
        <f t="shared" ref="D57" ca="1" si="6">C24</f>
        <v>4272.07</v>
      </c>
      <c r="E57" s="78">
        <f t="shared" ref="E57" ca="1" si="7">ROUND(D57*C57,2)</f>
        <v>0.21</v>
      </c>
      <c r="F57" s="59"/>
      <c r="G57" s="59"/>
      <c r="H57" s="72"/>
    </row>
    <row r="58" spans="1:247" s="64" customFormat="1" ht="15.95" customHeight="1" x14ac:dyDescent="0.3">
      <c r="B58" s="316" t="str">
        <f>B26</f>
        <v>Agente de Higienização - Líder</v>
      </c>
      <c r="C58" s="190">
        <f>ROUND(1/(26*D$13),9)</f>
        <v>1.9230000000000001E-6</v>
      </c>
      <c r="D58" s="62">
        <f ca="1">C26</f>
        <v>5260.62</v>
      </c>
      <c r="E58" s="78">
        <f ca="1">ROUND(D58*C58,2)</f>
        <v>0.01</v>
      </c>
      <c r="F58" s="59"/>
      <c r="G58" s="59"/>
      <c r="H58" s="72"/>
    </row>
    <row r="59" spans="1:247" s="61" customFormat="1" ht="15.95" customHeight="1" thickBot="1" x14ac:dyDescent="0.35">
      <c r="A59" s="66"/>
      <c r="B59" s="188"/>
      <c r="C59" s="1083" t="s">
        <v>247</v>
      </c>
      <c r="D59" s="1084"/>
      <c r="E59" s="189">
        <f ca="1">SUM(E56:E58)</f>
        <v>0.42</v>
      </c>
      <c r="F59" s="140"/>
      <c r="G59" s="141"/>
      <c r="H59" s="139"/>
    </row>
    <row r="60" spans="1:247" s="61" customFormat="1" ht="15.95" customHeight="1" thickBot="1" x14ac:dyDescent="0.35">
      <c r="A60" s="66"/>
      <c r="B60" s="179"/>
      <c r="C60" s="59"/>
      <c r="D60" s="59"/>
      <c r="E60" s="59"/>
      <c r="F60" s="59"/>
      <c r="G60" s="59"/>
      <c r="H60" s="72"/>
    </row>
    <row r="61" spans="1:247" s="61" customFormat="1" ht="15.95" customHeight="1" thickBot="1" x14ac:dyDescent="0.35">
      <c r="B61" s="1105" t="s">
        <v>165</v>
      </c>
      <c r="C61" s="1102" t="s">
        <v>164</v>
      </c>
      <c r="D61" s="1107" t="s">
        <v>249</v>
      </c>
      <c r="E61" s="1102" t="s">
        <v>250</v>
      </c>
      <c r="F61" s="1102" t="s">
        <v>448</v>
      </c>
      <c r="G61" s="1109" t="s">
        <v>439</v>
      </c>
      <c r="H61" s="72"/>
    </row>
    <row r="62" spans="1:247" s="61" customFormat="1" ht="29.45" customHeight="1" thickBot="1" x14ac:dyDescent="0.35">
      <c r="B62" s="1106"/>
      <c r="C62" s="1103"/>
      <c r="D62" s="1108"/>
      <c r="E62" s="1103"/>
      <c r="F62" s="1103"/>
      <c r="G62" s="1110"/>
      <c r="H62" s="72"/>
      <c r="IF62" s="67"/>
      <c r="IG62" s="67"/>
      <c r="IH62" s="67"/>
      <c r="II62" s="67"/>
      <c r="IJ62" s="67"/>
      <c r="IK62" s="67"/>
      <c r="IL62" s="67"/>
      <c r="IM62" s="67"/>
    </row>
    <row r="63" spans="1:247" s="61" customFormat="1" ht="15.95" customHeight="1" x14ac:dyDescent="0.3">
      <c r="B63" s="144" t="s">
        <v>163</v>
      </c>
      <c r="C63" s="68">
        <f ca="1">E32</f>
        <v>0.49</v>
      </c>
      <c r="D63" s="69">
        <f t="shared" ref="D63:D68" si="8">C8</f>
        <v>705.07</v>
      </c>
      <c r="E63" s="207">
        <f t="shared" ref="E63:E68" ca="1" si="9">ROUND(D63*C63,2)</f>
        <v>345.48</v>
      </c>
      <c r="F63" s="69">
        <f>D63*12</f>
        <v>8460.84</v>
      </c>
      <c r="G63" s="209">
        <f ca="1">E63*12</f>
        <v>4145.76</v>
      </c>
      <c r="H63" s="73"/>
      <c r="IE63" s="67"/>
      <c r="IF63" s="67"/>
      <c r="IG63" s="67"/>
      <c r="IH63" s="67"/>
      <c r="II63" s="67"/>
      <c r="IJ63" s="67"/>
      <c r="IK63" s="67"/>
      <c r="IL63" s="67"/>
    </row>
    <row r="64" spans="1:247" s="61" customFormat="1" ht="15.95" customHeight="1" x14ac:dyDescent="0.3">
      <c r="B64" s="166" t="s">
        <v>161</v>
      </c>
      <c r="C64" s="68">
        <f ca="1">E37</f>
        <v>0.49</v>
      </c>
      <c r="D64" s="69">
        <f t="shared" si="8"/>
        <v>13026.31</v>
      </c>
      <c r="E64" s="207">
        <f t="shared" ca="1" si="9"/>
        <v>6382.89</v>
      </c>
      <c r="F64" s="69">
        <f t="shared" ref="F64:G68" si="10">D64*12</f>
        <v>156315.72</v>
      </c>
      <c r="G64" s="209">
        <f t="shared" ca="1" si="10"/>
        <v>76594.679999999993</v>
      </c>
      <c r="H64" s="73"/>
      <c r="IE64" s="67"/>
      <c r="IF64" s="67"/>
      <c r="IG64" s="67"/>
      <c r="IH64" s="67"/>
      <c r="II64" s="67"/>
      <c r="IJ64" s="67"/>
      <c r="IK64" s="67"/>
      <c r="IL64" s="67"/>
    </row>
    <row r="65" spans="1:10" s="61" customFormat="1" ht="15.95" customHeight="1" x14ac:dyDescent="0.3">
      <c r="B65" s="166" t="s">
        <v>410</v>
      </c>
      <c r="C65" s="68">
        <f ca="1">H52</f>
        <v>0.36</v>
      </c>
      <c r="D65" s="69">
        <f t="shared" si="8"/>
        <v>151.77000000000001</v>
      </c>
      <c r="E65" s="207">
        <f t="shared" ca="1" si="9"/>
        <v>54.64</v>
      </c>
      <c r="F65" s="69">
        <f t="shared" si="10"/>
        <v>1821.24</v>
      </c>
      <c r="G65" s="209">
        <f t="shared" ca="1" si="10"/>
        <v>655.68</v>
      </c>
      <c r="H65" s="73"/>
    </row>
    <row r="66" spans="1:10" s="61" customFormat="1" ht="15.95" customHeight="1" x14ac:dyDescent="0.3">
      <c r="B66" s="166" t="s">
        <v>240</v>
      </c>
      <c r="C66" s="68">
        <f ca="1">E41</f>
        <v>1.97</v>
      </c>
      <c r="D66" s="69">
        <f t="shared" si="8"/>
        <v>74.349999999999994</v>
      </c>
      <c r="E66" s="207">
        <f t="shared" ca="1" si="9"/>
        <v>146.47</v>
      </c>
      <c r="F66" s="69">
        <f t="shared" si="10"/>
        <v>892.2</v>
      </c>
      <c r="G66" s="209">
        <f t="shared" ca="1" si="10"/>
        <v>1757.64</v>
      </c>
      <c r="H66" s="73"/>
    </row>
    <row r="67" spans="1:10" s="548" customFormat="1" ht="15.95" customHeight="1" x14ac:dyDescent="0.3">
      <c r="B67" s="549" t="s">
        <v>409</v>
      </c>
      <c r="C67" s="550">
        <f ca="1">E45</f>
        <v>0</v>
      </c>
      <c r="D67" s="551">
        <f t="shared" si="8"/>
        <v>0</v>
      </c>
      <c r="E67" s="552">
        <f t="shared" ca="1" si="9"/>
        <v>0</v>
      </c>
      <c r="F67" s="551">
        <f t="shared" si="10"/>
        <v>0</v>
      </c>
      <c r="G67" s="553">
        <f t="shared" ca="1" si="10"/>
        <v>0</v>
      </c>
      <c r="H67" s="554"/>
    </row>
    <row r="68" spans="1:10" s="61" customFormat="1" ht="15.95" customHeight="1" x14ac:dyDescent="0.3">
      <c r="B68" s="166" t="s">
        <v>243</v>
      </c>
      <c r="C68" s="68">
        <f ca="1">E59</f>
        <v>0.42</v>
      </c>
      <c r="D68" s="69">
        <f t="shared" si="8"/>
        <v>39805</v>
      </c>
      <c r="E68" s="207">
        <f t="shared" ca="1" si="9"/>
        <v>16718.099999999999</v>
      </c>
      <c r="F68" s="69">
        <f t="shared" si="10"/>
        <v>477660</v>
      </c>
      <c r="G68" s="209">
        <f t="shared" ca="1" si="10"/>
        <v>200617.2</v>
      </c>
      <c r="H68" s="73"/>
      <c r="I68" s="158"/>
    </row>
    <row r="69" spans="1:10" s="61" customFormat="1" ht="15.95" customHeight="1" x14ac:dyDescent="0.3">
      <c r="A69" s="70" t="s">
        <v>162</v>
      </c>
      <c r="B69" s="1122" t="s">
        <v>413</v>
      </c>
      <c r="C69" s="1123"/>
      <c r="D69" s="1123"/>
      <c r="E69" s="1123"/>
      <c r="F69" s="1123"/>
      <c r="G69" s="385">
        <f ca="1">SUM(E63:E68)</f>
        <v>23647.58</v>
      </c>
      <c r="H69" s="72"/>
    </row>
    <row r="70" spans="1:10" s="61" customFormat="1" ht="15.95" customHeight="1" thickBot="1" x14ac:dyDescent="0.35">
      <c r="A70" s="64"/>
      <c r="B70" s="1047" t="s">
        <v>450</v>
      </c>
      <c r="C70" s="1048"/>
      <c r="D70" s="1048"/>
      <c r="E70" s="1048"/>
      <c r="F70" s="1048"/>
      <c r="G70" s="389">
        <f ca="1">G69*12</f>
        <v>283770.96000000002</v>
      </c>
      <c r="H70" s="72"/>
      <c r="I70" s="159"/>
      <c r="J70" s="160"/>
    </row>
    <row r="71" spans="1:10" s="61" customFormat="1" ht="15.95" customHeight="1" x14ac:dyDescent="0.3">
      <c r="A71" s="64"/>
      <c r="B71" s="1056" t="s">
        <v>430</v>
      </c>
      <c r="C71" s="1057"/>
      <c r="D71" s="1057"/>
      <c r="E71" s="1057"/>
      <c r="F71" s="1057"/>
      <c r="G71" s="368">
        <f>'Insumos Diversos'!H136</f>
        <v>0</v>
      </c>
      <c r="H71" s="72"/>
      <c r="I71" s="159"/>
      <c r="J71" s="160"/>
    </row>
    <row r="72" spans="1:10" s="61" customFormat="1" ht="15.95" customHeight="1" thickBot="1" x14ac:dyDescent="0.35">
      <c r="A72" s="64"/>
      <c r="B72" s="1052" t="s">
        <v>437</v>
      </c>
      <c r="C72" s="1053"/>
      <c r="D72" s="1053"/>
      <c r="E72" s="1053"/>
      <c r="F72" s="1053"/>
      <c r="G72" s="369">
        <f>G71*12</f>
        <v>0</v>
      </c>
      <c r="H72" s="72"/>
      <c r="I72" s="159"/>
      <c r="J72" s="160"/>
    </row>
    <row r="73" spans="1:10" customFormat="1" x14ac:dyDescent="0.3">
      <c r="B73" s="1234" t="s">
        <v>509</v>
      </c>
      <c r="C73" s="1235"/>
      <c r="D73" s="1235"/>
      <c r="E73" s="1235"/>
      <c r="F73" s="1236"/>
      <c r="G73" s="671">
        <f ca="1">'Ajudante de Serviços_CEPRE'!G142</f>
        <v>4751.37</v>
      </c>
    </row>
    <row r="74" spans="1:10" customFormat="1" ht="17.25" thickBot="1" x14ac:dyDescent="0.35">
      <c r="B74" s="1237" t="s">
        <v>508</v>
      </c>
      <c r="C74" s="1238"/>
      <c r="D74" s="1238"/>
      <c r="E74" s="1238"/>
      <c r="F74" s="1239"/>
      <c r="G74" s="388">
        <f ca="1">G73*12</f>
        <v>57016.44</v>
      </c>
    </row>
    <row r="75" spans="1:10" s="61" customFormat="1" ht="15.95" customHeight="1" x14ac:dyDescent="0.3">
      <c r="A75" s="64"/>
      <c r="B75" s="1232" t="s">
        <v>434</v>
      </c>
      <c r="C75" s="1233"/>
      <c r="D75" s="1233"/>
      <c r="E75" s="1233"/>
      <c r="F75" s="1233"/>
      <c r="G75" s="381">
        <f ca="1">SUM(G69,G71,G73)</f>
        <v>28398.95</v>
      </c>
      <c r="H75" s="72"/>
      <c r="I75" s="159"/>
      <c r="J75" s="160"/>
    </row>
    <row r="76" spans="1:10" s="61" customFormat="1" ht="15.95" customHeight="1" thickBot="1" x14ac:dyDescent="0.35">
      <c r="A76" s="64"/>
      <c r="B76" s="1050" t="s">
        <v>435</v>
      </c>
      <c r="C76" s="1051"/>
      <c r="D76" s="1051"/>
      <c r="E76" s="1051"/>
      <c r="F76" s="1051"/>
      <c r="G76" s="382">
        <f ca="1">G75*12</f>
        <v>340787.4</v>
      </c>
      <c r="H76" s="72"/>
      <c r="I76" s="159">
        <f ca="1">SUM(G70+G72)</f>
        <v>283770.96000000002</v>
      </c>
      <c r="J76" s="160"/>
    </row>
    <row r="77" spans="1:10" s="61" customFormat="1" ht="15.95" customHeight="1" x14ac:dyDescent="0.3">
      <c r="B77" s="208" t="s">
        <v>160</v>
      </c>
      <c r="C77" s="59"/>
      <c r="D77" s="59"/>
      <c r="E77" s="59"/>
      <c r="F77" s="59"/>
      <c r="G77" s="59"/>
      <c r="H77" s="72"/>
    </row>
    <row r="78" spans="1:10" s="61" customFormat="1" ht="15.95" customHeight="1" x14ac:dyDescent="0.3">
      <c r="B78" s="1061" t="s">
        <v>253</v>
      </c>
      <c r="C78" s="1062"/>
      <c r="D78" s="1062"/>
      <c r="E78" s="1062"/>
      <c r="F78" s="1062"/>
      <c r="G78" s="1062"/>
      <c r="H78" s="1063"/>
    </row>
    <row r="79" spans="1:10" s="61" customFormat="1" ht="22.5" customHeight="1" x14ac:dyDescent="0.3">
      <c r="B79" s="1064" t="s">
        <v>412</v>
      </c>
      <c r="C79" s="1065"/>
      <c r="D79" s="1065"/>
      <c r="E79" s="1065"/>
      <c r="F79" s="1065"/>
      <c r="G79" s="1065"/>
      <c r="H79" s="1066"/>
    </row>
    <row r="80" spans="1:10" s="61" customFormat="1" ht="30.75" customHeight="1" x14ac:dyDescent="0.3">
      <c r="B80" s="1067" t="s">
        <v>317</v>
      </c>
      <c r="C80" s="1068"/>
      <c r="D80" s="1068"/>
      <c r="E80" s="1068"/>
      <c r="F80" s="1068"/>
      <c r="G80" s="1068"/>
      <c r="H80" s="1069"/>
    </row>
    <row r="81" spans="1:8" s="61" customFormat="1" ht="15.95" customHeight="1" x14ac:dyDescent="0.3">
      <c r="B81" s="1070" t="s">
        <v>192</v>
      </c>
      <c r="C81" s="1071"/>
      <c r="D81" s="1071"/>
      <c r="E81" s="1071"/>
      <c r="F81" s="1071"/>
      <c r="G81" s="1071"/>
      <c r="H81" s="1072"/>
    </row>
    <row r="82" spans="1:8" s="61" customFormat="1" ht="35.25" customHeight="1" thickBot="1" x14ac:dyDescent="0.35">
      <c r="B82" s="1058" t="s">
        <v>213</v>
      </c>
      <c r="C82" s="1059"/>
      <c r="D82" s="1059"/>
      <c r="E82" s="1059"/>
      <c r="F82" s="1059"/>
      <c r="G82" s="1059"/>
      <c r="H82" s="1060"/>
    </row>
    <row r="83" spans="1:8" s="61" customFormat="1" ht="15.95" customHeight="1" x14ac:dyDescent="0.3">
      <c r="A83" s="71"/>
      <c r="B83" s="304"/>
      <c r="C83" s="304"/>
      <c r="D83" s="304"/>
      <c r="E83" s="304"/>
      <c r="F83" s="304"/>
      <c r="G83" s="304"/>
      <c r="H83" s="305"/>
    </row>
    <row r="84" spans="1:8" s="61" customFormat="1" ht="15.95" customHeight="1" x14ac:dyDescent="0.3">
      <c r="A84" s="71"/>
    </row>
    <row r="85" spans="1:8" s="61" customFormat="1" ht="15.95" customHeight="1" x14ac:dyDescent="0.3">
      <c r="A85" s="71"/>
    </row>
    <row r="86" spans="1:8" s="61" customFormat="1" ht="15.95" customHeight="1" x14ac:dyDescent="0.3">
      <c r="A86" s="71"/>
    </row>
    <row r="87" spans="1:8" s="61" customFormat="1" ht="15.95" customHeight="1" x14ac:dyDescent="0.3">
      <c r="A87" s="71"/>
    </row>
    <row r="88" spans="1:8" s="61" customFormat="1" ht="15.95" customHeight="1" x14ac:dyDescent="0.3">
      <c r="A88" s="71"/>
    </row>
    <row r="89" spans="1:8" s="61" customFormat="1" ht="15.95" customHeight="1" x14ac:dyDescent="0.3">
      <c r="A89" s="71"/>
    </row>
    <row r="90" spans="1:8" s="61" customFormat="1" ht="15.95" customHeight="1" x14ac:dyDescent="0.3">
      <c r="A90" s="71"/>
    </row>
    <row r="91" spans="1:8" s="61" customFormat="1" ht="15.95" customHeight="1" x14ac:dyDescent="0.3">
      <c r="A91" s="71"/>
      <c r="B91" s="57"/>
      <c r="C91" s="57"/>
      <c r="D91" s="57"/>
      <c r="E91" s="57"/>
      <c r="F91" s="57"/>
    </row>
    <row r="92" spans="1:8" s="61" customFormat="1" ht="15.95" customHeight="1" x14ac:dyDescent="0.3">
      <c r="B92" s="57"/>
      <c r="C92" s="57"/>
      <c r="D92" s="57"/>
      <c r="E92" s="57"/>
      <c r="F92" s="57"/>
      <c r="G92" s="57"/>
    </row>
    <row r="93" spans="1:8" s="61" customFormat="1" ht="15.95" customHeight="1" x14ac:dyDescent="0.3">
      <c r="B93" s="57"/>
      <c r="C93" s="57"/>
      <c r="D93" s="57"/>
      <c r="E93" s="57"/>
      <c r="F93" s="57"/>
      <c r="G93" s="57"/>
      <c r="H93" s="57"/>
    </row>
    <row r="94" spans="1:8" s="61" customFormat="1" ht="15.95" customHeight="1" x14ac:dyDescent="0.3">
      <c r="A94" s="71"/>
      <c r="B94" s="57"/>
      <c r="C94" s="57"/>
      <c r="D94" s="57"/>
      <c r="E94" s="57"/>
      <c r="F94" s="57"/>
      <c r="G94" s="57"/>
      <c r="H94" s="57"/>
    </row>
    <row r="95" spans="1:8" s="61" customFormat="1" ht="15.95" customHeight="1" x14ac:dyDescent="0.3">
      <c r="A95" s="71"/>
      <c r="B95" s="57"/>
      <c r="C95" s="57"/>
      <c r="D95" s="57"/>
      <c r="E95" s="57"/>
      <c r="F95" s="57"/>
      <c r="G95" s="57"/>
      <c r="H95" s="57"/>
    </row>
    <row r="96" spans="1:8" s="61" customFormat="1" ht="15.95" customHeight="1" x14ac:dyDescent="0.3">
      <c r="B96" s="57"/>
      <c r="C96" s="57"/>
      <c r="D96" s="57"/>
      <c r="E96" s="57"/>
      <c r="F96" s="57"/>
      <c r="G96" s="57"/>
      <c r="H96" s="57"/>
    </row>
    <row r="100" ht="13.35" customHeight="1" x14ac:dyDescent="0.3"/>
    <row r="120" ht="12.95" customHeight="1" x14ac:dyDescent="0.3"/>
    <row r="121" ht="10.5" customHeight="1" x14ac:dyDescent="0.3"/>
    <row r="132" ht="12" customHeight="1" x14ac:dyDescent="0.3"/>
    <row r="133" ht="12" customHeight="1" x14ac:dyDescent="0.3"/>
    <row r="144" ht="13.5" customHeight="1" x14ac:dyDescent="0.3"/>
    <row r="191" ht="10.5" customHeight="1" x14ac:dyDescent="0.3"/>
    <row r="192" ht="10.5" customHeight="1" x14ac:dyDescent="0.3"/>
  </sheetData>
  <mergeCells count="45">
    <mergeCell ref="B1:H1"/>
    <mergeCell ref="B2:H2"/>
    <mergeCell ref="B3:H3"/>
    <mergeCell ref="J3:K3"/>
    <mergeCell ref="B4:H5"/>
    <mergeCell ref="C6:H6"/>
    <mergeCell ref="C45:D45"/>
    <mergeCell ref="G8:G12"/>
    <mergeCell ref="B14:E14"/>
    <mergeCell ref="B16:E16"/>
    <mergeCell ref="B17:E17"/>
    <mergeCell ref="B18:E18"/>
    <mergeCell ref="B19:E19"/>
    <mergeCell ref="C32:D32"/>
    <mergeCell ref="C37:D37"/>
    <mergeCell ref="C41:D41"/>
    <mergeCell ref="B15:E15"/>
    <mergeCell ref="F8:F12"/>
    <mergeCell ref="H47:H48"/>
    <mergeCell ref="C59:D59"/>
    <mergeCell ref="B61:B62"/>
    <mergeCell ref="C61:C62"/>
    <mergeCell ref="D61:D62"/>
    <mergeCell ref="E61:E62"/>
    <mergeCell ref="F61:F62"/>
    <mergeCell ref="G61:G62"/>
    <mergeCell ref="B47:B48"/>
    <mergeCell ref="C47:C48"/>
    <mergeCell ref="D47:D48"/>
    <mergeCell ref="E47:E48"/>
    <mergeCell ref="F47:F48"/>
    <mergeCell ref="G47:G48"/>
    <mergeCell ref="B80:H80"/>
    <mergeCell ref="B81:H81"/>
    <mergeCell ref="B82:H82"/>
    <mergeCell ref="B76:F76"/>
    <mergeCell ref="B78:H78"/>
    <mergeCell ref="B75:F75"/>
    <mergeCell ref="B69:F69"/>
    <mergeCell ref="B71:F71"/>
    <mergeCell ref="B72:F72"/>
    <mergeCell ref="B79:H79"/>
    <mergeCell ref="B70:F70"/>
    <mergeCell ref="B73:F73"/>
    <mergeCell ref="B74:F74"/>
  </mergeCells>
  <dataValidations count="1">
    <dataValidation type="custom" allowBlank="1" showErrorMessage="1" errorTitle="Erro" error="Não é permitido escrever nesta célula" sqref="IP106 SL106 ACH106 AMD106 AVZ106 BFV106 BPR106 BZN106 CJJ106 CTF106 DDB106 DMX106 DWT106 EGP106 EQL106 FAH106 FKD106 FTZ106 GDV106 GNR106 GXN106 HHJ106 HRF106 IBB106 IKX106 IUT106 JEP106 JOL106 JYH106 KID106 KRZ106 LBV106 LLR106 LVN106 MFJ106 MPF106 MZB106 NIX106 NST106 OCP106 OML106 OWH106 PGD106 PPZ106 PZV106 QJR106 QTN106 RDJ106 RNF106 RXB106 SGX106 SQT106 TAP106 TKL106 TUH106 UED106 UNZ106 UXV106 VHR106 VRN106 WBJ106 WLF106 WVB106 IP65642 SL65642 ACH65642 AMD65642 AVZ65642 BFV65642 BPR65642 BZN65642 CJJ65642 CTF65642 DDB65642 DMX65642 DWT65642 EGP65642 EQL65642 FAH65642 FKD65642 FTZ65642 GDV65642 GNR65642 GXN65642 HHJ65642 HRF65642 IBB65642 IKX65642 IUT65642 JEP65642 JOL65642 JYH65642 KID65642 KRZ65642 LBV65642 LLR65642 LVN65642 MFJ65642 MPF65642 MZB65642 NIX65642 NST65642 OCP65642 OML65642 OWH65642 PGD65642 PPZ65642 PZV65642 QJR65642 QTN65642 RDJ65642 RNF65642 RXB65642 SGX65642 SQT65642 TAP65642 TKL65642 TUH65642 UED65642 UNZ65642 UXV65642 VHR65642 VRN65642 WBJ65642 WLF65642 WVB65642 IP131178 SL131178 ACH131178 AMD131178 AVZ131178 BFV131178 BPR131178 BZN131178 CJJ131178 CTF131178 DDB131178 DMX131178 DWT131178 EGP131178 EQL131178 FAH131178 FKD131178 FTZ131178 GDV131178 GNR131178 GXN131178 HHJ131178 HRF131178 IBB131178 IKX131178 IUT131178 JEP131178 JOL131178 JYH131178 KID131178 KRZ131178 LBV131178 LLR131178 LVN131178 MFJ131178 MPF131178 MZB131178 NIX131178 NST131178 OCP131178 OML131178 OWH131178 PGD131178 PPZ131178 PZV131178 QJR131178 QTN131178 RDJ131178 RNF131178 RXB131178 SGX131178 SQT131178 TAP131178 TKL131178 TUH131178 UED131178 UNZ131178 UXV131178 VHR131178 VRN131178 WBJ131178 WLF131178 WVB131178 IP196714 SL196714 ACH196714 AMD196714 AVZ196714 BFV196714 BPR196714 BZN196714 CJJ196714 CTF196714 DDB196714 DMX196714 DWT196714 EGP196714 EQL196714 FAH196714 FKD196714 FTZ196714 GDV196714 GNR196714 GXN196714 HHJ196714 HRF196714 IBB196714 IKX196714 IUT196714 JEP196714 JOL196714 JYH196714 KID196714 KRZ196714 LBV196714 LLR196714 LVN196714 MFJ196714 MPF196714 MZB196714 NIX196714 NST196714 OCP196714 OML196714 OWH196714 PGD196714 PPZ196714 PZV196714 QJR196714 QTN196714 RDJ196714 RNF196714 RXB196714 SGX196714 SQT196714 TAP196714 TKL196714 TUH196714 UED196714 UNZ196714 UXV196714 VHR196714 VRN196714 WBJ196714 WLF196714 WVB196714 IP262250 SL262250 ACH262250 AMD262250 AVZ262250 BFV262250 BPR262250 BZN262250 CJJ262250 CTF262250 DDB262250 DMX262250 DWT262250 EGP262250 EQL262250 FAH262250 FKD262250 FTZ262250 GDV262250 GNR262250 GXN262250 HHJ262250 HRF262250 IBB262250 IKX262250 IUT262250 JEP262250 JOL262250 JYH262250 KID262250 KRZ262250 LBV262250 LLR262250 LVN262250 MFJ262250 MPF262250 MZB262250 NIX262250 NST262250 OCP262250 OML262250 OWH262250 PGD262250 PPZ262250 PZV262250 QJR262250 QTN262250 RDJ262250 RNF262250 RXB262250 SGX262250 SQT262250 TAP262250 TKL262250 TUH262250 UED262250 UNZ262250 UXV262250 VHR262250 VRN262250 WBJ262250 WLF262250 WVB262250 IP327786 SL327786 ACH327786 AMD327786 AVZ327786 BFV327786 BPR327786 BZN327786 CJJ327786 CTF327786 DDB327786 DMX327786 DWT327786 EGP327786 EQL327786 FAH327786 FKD327786 FTZ327786 GDV327786 GNR327786 GXN327786 HHJ327786 HRF327786 IBB327786 IKX327786 IUT327786 JEP327786 JOL327786 JYH327786 KID327786 KRZ327786 LBV327786 LLR327786 LVN327786 MFJ327786 MPF327786 MZB327786 NIX327786 NST327786 OCP327786 OML327786 OWH327786 PGD327786 PPZ327786 PZV327786 QJR327786 QTN327786 RDJ327786 RNF327786 RXB327786 SGX327786 SQT327786 TAP327786 TKL327786 TUH327786 UED327786 UNZ327786 UXV327786 VHR327786 VRN327786 WBJ327786 WLF327786 WVB327786 IP393322 SL393322 ACH393322 AMD393322 AVZ393322 BFV393322 BPR393322 BZN393322 CJJ393322 CTF393322 DDB393322 DMX393322 DWT393322 EGP393322 EQL393322 FAH393322 FKD393322 FTZ393322 GDV393322 GNR393322 GXN393322 HHJ393322 HRF393322 IBB393322 IKX393322 IUT393322 JEP393322 JOL393322 JYH393322 KID393322 KRZ393322 LBV393322 LLR393322 LVN393322 MFJ393322 MPF393322 MZB393322 NIX393322 NST393322 OCP393322 OML393322 OWH393322 PGD393322 PPZ393322 PZV393322 QJR393322 QTN393322 RDJ393322 RNF393322 RXB393322 SGX393322 SQT393322 TAP393322 TKL393322 TUH393322 UED393322 UNZ393322 UXV393322 VHR393322 VRN393322 WBJ393322 WLF393322 WVB393322 IP458858 SL458858 ACH458858 AMD458858 AVZ458858 BFV458858 BPR458858 BZN458858 CJJ458858 CTF458858 DDB458858 DMX458858 DWT458858 EGP458858 EQL458858 FAH458858 FKD458858 FTZ458858 GDV458858 GNR458858 GXN458858 HHJ458858 HRF458858 IBB458858 IKX458858 IUT458858 JEP458858 JOL458858 JYH458858 KID458858 KRZ458858 LBV458858 LLR458858 LVN458858 MFJ458858 MPF458858 MZB458858 NIX458858 NST458858 OCP458858 OML458858 OWH458858 PGD458858 PPZ458858 PZV458858 QJR458858 QTN458858 RDJ458858 RNF458858 RXB458858 SGX458858 SQT458858 TAP458858 TKL458858 TUH458858 UED458858 UNZ458858 UXV458858 VHR458858 VRN458858 WBJ458858 WLF458858 WVB458858 IP524394 SL524394 ACH524394 AMD524394 AVZ524394 BFV524394 BPR524394 BZN524394 CJJ524394 CTF524394 DDB524394 DMX524394 DWT524394 EGP524394 EQL524394 FAH524394 FKD524394 FTZ524394 GDV524394 GNR524394 GXN524394 HHJ524394 HRF524394 IBB524394 IKX524394 IUT524394 JEP524394 JOL524394 JYH524394 KID524394 KRZ524394 LBV524394 LLR524394 LVN524394 MFJ524394 MPF524394 MZB524394 NIX524394 NST524394 OCP524394 OML524394 OWH524394 PGD524394 PPZ524394 PZV524394 QJR524394 QTN524394 RDJ524394 RNF524394 RXB524394 SGX524394 SQT524394 TAP524394 TKL524394 TUH524394 UED524394 UNZ524394 UXV524394 VHR524394 VRN524394 WBJ524394 WLF524394 WVB524394 IP589930 SL589930 ACH589930 AMD589930 AVZ589930 BFV589930 BPR589930 BZN589930 CJJ589930 CTF589930 DDB589930 DMX589930 DWT589930 EGP589930 EQL589930 FAH589930 FKD589930 FTZ589930 GDV589930 GNR589930 GXN589930 HHJ589930 HRF589930 IBB589930 IKX589930 IUT589930 JEP589930 JOL589930 JYH589930 KID589930 KRZ589930 LBV589930 LLR589930 LVN589930 MFJ589930 MPF589930 MZB589930 NIX589930 NST589930 OCP589930 OML589930 OWH589930 PGD589930 PPZ589930 PZV589930 QJR589930 QTN589930 RDJ589930 RNF589930 RXB589930 SGX589930 SQT589930 TAP589930 TKL589930 TUH589930 UED589930 UNZ589930 UXV589930 VHR589930 VRN589930 WBJ589930 WLF589930 WVB589930 IP655466 SL655466 ACH655466 AMD655466 AVZ655466 BFV655466 BPR655466 BZN655466 CJJ655466 CTF655466 DDB655466 DMX655466 DWT655466 EGP655466 EQL655466 FAH655466 FKD655466 FTZ655466 GDV655466 GNR655466 GXN655466 HHJ655466 HRF655466 IBB655466 IKX655466 IUT655466 JEP655466 JOL655466 JYH655466 KID655466 KRZ655466 LBV655466 LLR655466 LVN655466 MFJ655466 MPF655466 MZB655466 NIX655466 NST655466 OCP655466 OML655466 OWH655466 PGD655466 PPZ655466 PZV655466 QJR655466 QTN655466 RDJ655466 RNF655466 RXB655466 SGX655466 SQT655466 TAP655466 TKL655466 TUH655466 UED655466 UNZ655466 UXV655466 VHR655466 VRN655466 WBJ655466 WLF655466 WVB655466 IP721002 SL721002 ACH721002 AMD721002 AVZ721002 BFV721002 BPR721002 BZN721002 CJJ721002 CTF721002 DDB721002 DMX721002 DWT721002 EGP721002 EQL721002 FAH721002 FKD721002 FTZ721002 GDV721002 GNR721002 GXN721002 HHJ721002 HRF721002 IBB721002 IKX721002 IUT721002 JEP721002 JOL721002 JYH721002 KID721002 KRZ721002 LBV721002 LLR721002 LVN721002 MFJ721002 MPF721002 MZB721002 NIX721002 NST721002 OCP721002 OML721002 OWH721002 PGD721002 PPZ721002 PZV721002 QJR721002 QTN721002 RDJ721002 RNF721002 RXB721002 SGX721002 SQT721002 TAP721002 TKL721002 TUH721002 UED721002 UNZ721002 UXV721002 VHR721002 VRN721002 WBJ721002 WLF721002 WVB721002 IP786538 SL786538 ACH786538 AMD786538 AVZ786538 BFV786538 BPR786538 BZN786538 CJJ786538 CTF786538 DDB786538 DMX786538 DWT786538 EGP786538 EQL786538 FAH786538 FKD786538 FTZ786538 GDV786538 GNR786538 GXN786538 HHJ786538 HRF786538 IBB786538 IKX786538 IUT786538 JEP786538 JOL786538 JYH786538 KID786538 KRZ786538 LBV786538 LLR786538 LVN786538 MFJ786538 MPF786538 MZB786538 NIX786538 NST786538 OCP786538 OML786538 OWH786538 PGD786538 PPZ786538 PZV786538 QJR786538 QTN786538 RDJ786538 RNF786538 RXB786538 SGX786538 SQT786538 TAP786538 TKL786538 TUH786538 UED786538 UNZ786538 UXV786538 VHR786538 VRN786538 WBJ786538 WLF786538 WVB786538 IP852074 SL852074 ACH852074 AMD852074 AVZ852074 BFV852074 BPR852074 BZN852074 CJJ852074 CTF852074 DDB852074 DMX852074 DWT852074 EGP852074 EQL852074 FAH852074 FKD852074 FTZ852074 GDV852074 GNR852074 GXN852074 HHJ852074 HRF852074 IBB852074 IKX852074 IUT852074 JEP852074 JOL852074 JYH852074 KID852074 KRZ852074 LBV852074 LLR852074 LVN852074 MFJ852074 MPF852074 MZB852074 NIX852074 NST852074 OCP852074 OML852074 OWH852074 PGD852074 PPZ852074 PZV852074 QJR852074 QTN852074 RDJ852074 RNF852074 RXB852074 SGX852074 SQT852074 TAP852074 TKL852074 TUH852074 UED852074 UNZ852074 UXV852074 VHR852074 VRN852074 WBJ852074 WLF852074 WVB852074 IP917610 SL917610 ACH917610 AMD917610 AVZ917610 BFV917610 BPR917610 BZN917610 CJJ917610 CTF917610 DDB917610 DMX917610 DWT917610 EGP917610 EQL917610 FAH917610 FKD917610 FTZ917610 GDV917610 GNR917610 GXN917610 HHJ917610 HRF917610 IBB917610 IKX917610 IUT917610 JEP917610 JOL917610 JYH917610 KID917610 KRZ917610 LBV917610 LLR917610 LVN917610 MFJ917610 MPF917610 MZB917610 NIX917610 NST917610 OCP917610 OML917610 OWH917610 PGD917610 PPZ917610 PZV917610 QJR917610 QTN917610 RDJ917610 RNF917610 RXB917610 SGX917610 SQT917610 TAP917610 TKL917610 TUH917610 UED917610 UNZ917610 UXV917610 VHR917610 VRN917610 WBJ917610 WLF917610 WVB917610 IP983146 SL983146 ACH983146 AMD983146 AVZ983146 BFV983146 BPR983146 BZN983146 CJJ983146 CTF983146 DDB983146 DMX983146 DWT983146 EGP983146 EQL983146 FAH983146 FKD983146 FTZ983146 GDV983146 GNR983146 GXN983146 HHJ983146 HRF983146 IBB983146 IKX983146 IUT983146 JEP983146 JOL983146 JYH983146 KID983146 KRZ983146 LBV983146 LLR983146 LVN983146 MFJ983146 MPF983146 MZB983146 NIX983146 NST983146 OCP983146 OML983146 OWH983146 PGD983146 PPZ983146 PZV983146 QJR983146 QTN983146 RDJ983146 RNF983146 RXB983146 SGX983146 SQT983146 TAP983146 TKL983146 TUH983146 UED983146 UNZ983146 UXV983146 VHR983146 VRN983146 WBJ983146 WLF983146 WVB983146">
      <formula1>"&lt;""""&gt; "</formula1>
      <formula2>0</formula2>
    </dataValidation>
  </dataValidations>
  <pageMargins left="0.98425196850393704" right="0.39370078740157483" top="0.78740157480314965" bottom="0.98425196850393704" header="0.59055118110236227" footer="0.78740157480314965"/>
  <pageSetup paperSize="9" scale="48" firstPageNumber="0" orientation="portrait" r:id="rId1"/>
  <headerFooter alignWithMargins="0">
    <oddHeader>&amp;RPlanilha MODELO LICITANTE</oddHeader>
    <oddFooter>&amp;C&amp;"Arial Narrow,Normal"&amp;A - Página &amp;P</oddFooter>
  </headerFooter>
  <ignoredErrors>
    <ignoredError sqref="G71:G75" formula="1"/>
  </ignoredErrors>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0"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496</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497</v>
      </c>
      <c r="G16" s="1017"/>
      <c r="H16" s="3"/>
    </row>
    <row r="17" spans="1:8" ht="14.1" customHeight="1" x14ac:dyDescent="0.2">
      <c r="A17" s="1000" t="s">
        <v>21</v>
      </c>
      <c r="B17" s="1001"/>
      <c r="C17" s="1001"/>
      <c r="D17" s="1001"/>
      <c r="E17" s="1002"/>
      <c r="F17" s="1016" t="s">
        <v>148</v>
      </c>
      <c r="G17" s="1017"/>
      <c r="H17" s="3"/>
    </row>
    <row r="18" spans="1:8" ht="14.1" customHeight="1" x14ac:dyDescent="0.2">
      <c r="A18" s="1000" t="s">
        <v>1</v>
      </c>
      <c r="B18" s="1001"/>
      <c r="C18" s="1001"/>
      <c r="D18" s="1001"/>
      <c r="E18" s="1002"/>
      <c r="F18" s="1010">
        <v>1717.2</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5.5" customHeight="1" x14ac:dyDescent="0.2">
      <c r="A24" s="1046" t="s">
        <v>491</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1717.2</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ROUND((ROUND((3*22),2)/52.5)*60,2)*0</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2324.4</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193.62</v>
      </c>
      <c r="H37" s="54"/>
    </row>
    <row r="38" spans="1:8" x14ac:dyDescent="0.2">
      <c r="A38" s="108" t="s">
        <v>29</v>
      </c>
      <c r="B38" s="977" t="s">
        <v>157</v>
      </c>
      <c r="C38" s="978"/>
      <c r="D38" s="978"/>
      <c r="E38" s="990"/>
      <c r="F38" s="109">
        <f>ROUND((1/11)+(1/11)/3, 3)</f>
        <v>0.121</v>
      </c>
      <c r="G38" s="8">
        <f>ROUND(G$34*F38,2)</f>
        <v>281.25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963" t="s">
        <v>41</v>
      </c>
      <c r="B41" s="964"/>
      <c r="C41" s="964"/>
      <c r="D41" s="964"/>
      <c r="E41" s="962"/>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92"/>
      <c r="F43" s="44">
        <v>0.2</v>
      </c>
      <c r="G43" s="22">
        <f>ROUND((G$34)*F43,2)</f>
        <v>464.88</v>
      </c>
      <c r="H43" s="4"/>
    </row>
    <row r="44" spans="1:8" x14ac:dyDescent="0.2">
      <c r="A44" s="37" t="s">
        <v>29</v>
      </c>
      <c r="B44" s="975" t="s">
        <v>43</v>
      </c>
      <c r="C44" s="976"/>
      <c r="D44" s="976"/>
      <c r="E44" s="989"/>
      <c r="F44" s="106">
        <v>2.5000000000000001E-2</v>
      </c>
      <c r="G44" s="113">
        <f>ROUND((G$34)*F44,2)</f>
        <v>58.11</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34.869999999999997</v>
      </c>
      <c r="H46" s="4"/>
    </row>
    <row r="47" spans="1:8" x14ac:dyDescent="0.2">
      <c r="A47" s="37" t="s">
        <v>32</v>
      </c>
      <c r="B47" s="975" t="s">
        <v>46</v>
      </c>
      <c r="C47" s="976"/>
      <c r="D47" s="976"/>
      <c r="E47" s="989"/>
      <c r="F47" s="106">
        <v>0.01</v>
      </c>
      <c r="G47" s="113">
        <f t="shared" si="0"/>
        <v>23.24</v>
      </c>
      <c r="H47" s="4"/>
    </row>
    <row r="48" spans="1:8" x14ac:dyDescent="0.2">
      <c r="A48" s="37" t="s">
        <v>34</v>
      </c>
      <c r="B48" s="975" t="s">
        <v>47</v>
      </c>
      <c r="C48" s="976"/>
      <c r="D48" s="976"/>
      <c r="E48" s="989"/>
      <c r="F48" s="106">
        <v>6.0000000000000001E-3</v>
      </c>
      <c r="G48" s="113">
        <f t="shared" si="0"/>
        <v>13.95</v>
      </c>
      <c r="H48" s="4"/>
    </row>
    <row r="49" spans="1:8" x14ac:dyDescent="0.2">
      <c r="A49" s="37" t="s">
        <v>48</v>
      </c>
      <c r="B49" s="975" t="s">
        <v>49</v>
      </c>
      <c r="C49" s="976"/>
      <c r="D49" s="976"/>
      <c r="E49" s="989"/>
      <c r="F49" s="106">
        <v>2E-3</v>
      </c>
      <c r="G49" s="113">
        <f t="shared" si="0"/>
        <v>4.6500000000000004</v>
      </c>
      <c r="H49" s="4"/>
    </row>
    <row r="50" spans="1:8" x14ac:dyDescent="0.2">
      <c r="A50" s="108" t="s">
        <v>50</v>
      </c>
      <c r="B50" s="977" t="s">
        <v>51</v>
      </c>
      <c r="C50" s="978"/>
      <c r="D50" s="978"/>
      <c r="E50" s="990"/>
      <c r="F50" s="109">
        <v>0.08</v>
      </c>
      <c r="G50" s="113">
        <f t="shared" si="0"/>
        <v>185.95</v>
      </c>
      <c r="H50" s="4"/>
    </row>
    <row r="51" spans="1:8" x14ac:dyDescent="0.2">
      <c r="A51" s="963" t="s">
        <v>52</v>
      </c>
      <c r="B51" s="964"/>
      <c r="C51" s="964"/>
      <c r="D51" s="964"/>
      <c r="E51" s="962"/>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52</v>
      </c>
      <c r="G53" s="14">
        <f>IF(ROUND((E53*F53)-(G27*0.06),2)&lt;0,0,ROUND((E53*F53)-(G27*0.06),2))</f>
        <v>0</v>
      </c>
      <c r="H53" s="36"/>
    </row>
    <row r="54" spans="1:8" s="35" customFormat="1" x14ac:dyDescent="0.2">
      <c r="A54" s="37" t="s">
        <v>55</v>
      </c>
      <c r="B54" s="981" t="s">
        <v>56</v>
      </c>
      <c r="C54" s="982"/>
      <c r="D54" s="982"/>
      <c r="E54" s="115">
        <f>20.76-1.39</f>
        <v>19.37</v>
      </c>
      <c r="F54" s="116">
        <v>26</v>
      </c>
      <c r="G54" s="103">
        <f>ROUND((E54*F54),2)</f>
        <v>503.62</v>
      </c>
      <c r="H54" s="36"/>
    </row>
    <row r="55" spans="1:8" s="35" customFormat="1" x14ac:dyDescent="0.2">
      <c r="A55" s="37" t="s">
        <v>57</v>
      </c>
      <c r="B55" s="981" t="s">
        <v>58</v>
      </c>
      <c r="C55" s="982"/>
      <c r="D55" s="982"/>
      <c r="E55" s="115">
        <v>144.68</v>
      </c>
      <c r="F55" s="116">
        <v>1</v>
      </c>
      <c r="G55" s="103">
        <f>ROUND((E55*F55),2)</f>
        <v>144.68</v>
      </c>
      <c r="H55" s="36"/>
    </row>
    <row r="56" spans="1:8" s="35" customFormat="1" x14ac:dyDescent="0.2">
      <c r="A56" s="37" t="s">
        <v>30</v>
      </c>
      <c r="B56" s="981" t="s">
        <v>149</v>
      </c>
      <c r="C56" s="982"/>
      <c r="D56" s="982"/>
      <c r="E56" s="115">
        <v>35.33</v>
      </c>
      <c r="F56" s="116">
        <v>1</v>
      </c>
      <c r="G56" s="103">
        <f>ROUND((E56*F56),2)</f>
        <v>35.33</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150</v>
      </c>
      <c r="C58" s="982"/>
      <c r="D58" s="982"/>
      <c r="E58" s="115">
        <f>20.76</f>
        <v>20.76</v>
      </c>
      <c r="F58" s="116">
        <v>1</v>
      </c>
      <c r="G58" s="103">
        <f>ROUND((E58*F58)/12,2)</f>
        <v>1.73</v>
      </c>
      <c r="H58" s="36"/>
    </row>
    <row r="59" spans="1:8" s="35" customFormat="1" x14ac:dyDescent="0.2">
      <c r="A59" s="37" t="s">
        <v>34</v>
      </c>
      <c r="B59" s="987" t="s">
        <v>180</v>
      </c>
      <c r="C59" s="988"/>
      <c r="D59" s="988"/>
      <c r="E59" s="115">
        <f>15.96</f>
        <v>15.96</v>
      </c>
      <c r="F59" s="117">
        <v>1</v>
      </c>
      <c r="G59" s="118">
        <f>ROUND((E59*F59),2)</f>
        <v>15.96</v>
      </c>
      <c r="H59" s="36"/>
    </row>
    <row r="60" spans="1:8" s="35" customFormat="1" x14ac:dyDescent="0.2">
      <c r="A60" s="37" t="s">
        <v>48</v>
      </c>
      <c r="B60" s="981" t="s">
        <v>254</v>
      </c>
      <c r="C60" s="982"/>
      <c r="D60" s="982"/>
      <c r="E60" s="115">
        <v>300</v>
      </c>
      <c r="F60" s="116">
        <v>1</v>
      </c>
      <c r="G60" s="103">
        <f>ROUND((E60*F60),2)</f>
        <v>300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1001.32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635.49</v>
      </c>
      <c r="H65" s="4"/>
    </row>
    <row r="66" spans="1:8" x14ac:dyDescent="0.2">
      <c r="A66" s="121" t="s">
        <v>64</v>
      </c>
      <c r="B66" s="927" t="s">
        <v>128</v>
      </c>
      <c r="C66" s="928"/>
      <c r="D66" s="928"/>
      <c r="E66" s="928"/>
      <c r="F66" s="18">
        <f>F51</f>
        <v>0.33800000000000002</v>
      </c>
      <c r="G66" s="122">
        <f>G51</f>
        <v>785.65</v>
      </c>
      <c r="H66" s="4"/>
    </row>
    <row r="67" spans="1:8" x14ac:dyDescent="0.2">
      <c r="A67" s="121" t="s">
        <v>65</v>
      </c>
      <c r="B67" s="927" t="s">
        <v>66</v>
      </c>
      <c r="C67" s="928"/>
      <c r="D67" s="928"/>
      <c r="E67" s="928"/>
      <c r="F67" s="929"/>
      <c r="G67" s="122">
        <f>G63</f>
        <v>1001.32</v>
      </c>
      <c r="H67" s="4"/>
    </row>
    <row r="68" spans="1:8" x14ac:dyDescent="0.2">
      <c r="A68" s="936" t="s">
        <v>67</v>
      </c>
      <c r="B68" s="937"/>
      <c r="C68" s="937"/>
      <c r="D68" s="937"/>
      <c r="E68" s="937"/>
      <c r="F68" s="938"/>
      <c r="G68" s="105">
        <f>SUM(G65:G67)</f>
        <v>2422.46</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ROUND(SUM(C108:E108),2)*F108</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249.83</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249.83</v>
      </c>
      <c r="H127" s="4">
        <f ca="1">ROUND(G139*F127,2)</f>
        <v>249.83</v>
      </c>
    </row>
    <row r="128" spans="1:8" x14ac:dyDescent="0.2">
      <c r="A128" s="936" t="s">
        <v>104</v>
      </c>
      <c r="B128" s="937"/>
      <c r="C128" s="937"/>
      <c r="D128" s="937"/>
      <c r="E128" s="937"/>
      <c r="F128" s="23">
        <f>SUM(F119,F120,F127)</f>
        <v>0.05</v>
      </c>
      <c r="G128" s="126">
        <f ca="1">SUM(G119:G126)</f>
        <v>249.83</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2324.4</v>
      </c>
      <c r="H130" s="4"/>
    </row>
    <row r="131" spans="1:8" x14ac:dyDescent="0.2">
      <c r="A131" s="121" t="s">
        <v>29</v>
      </c>
      <c r="B131" s="927" t="s">
        <v>107</v>
      </c>
      <c r="C131" s="928"/>
      <c r="D131" s="928"/>
      <c r="E131" s="928"/>
      <c r="F131" s="929"/>
      <c r="G131" s="122">
        <f>G68</f>
        <v>2422.46</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4746.8599999999997</v>
      </c>
      <c r="H135" s="4"/>
    </row>
    <row r="136" spans="1:8" x14ac:dyDescent="0.2">
      <c r="A136" s="121" t="s">
        <v>34</v>
      </c>
      <c r="B136" s="933" t="s">
        <v>112</v>
      </c>
      <c r="C136" s="934"/>
      <c r="D136" s="934"/>
      <c r="E136" s="934"/>
      <c r="F136" s="935"/>
      <c r="G136" s="122">
        <f ca="1">G128</f>
        <v>249.83</v>
      </c>
      <c r="H136" s="4"/>
    </row>
    <row r="137" spans="1:8" x14ac:dyDescent="0.2">
      <c r="A137" s="936" t="s">
        <v>113</v>
      </c>
      <c r="B137" s="937"/>
      <c r="C137" s="937"/>
      <c r="D137" s="937"/>
      <c r="E137" s="937"/>
      <c r="F137" s="938"/>
      <c r="G137" s="105">
        <f ca="1">SUM(G135:G136)</f>
        <v>4996.6899999999996</v>
      </c>
      <c r="H137" s="4">
        <f ca="1">SUM(G130:G136)-G135</f>
        <v>4996.6899999999996</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4996.6899999999996</v>
      </c>
      <c r="H139" s="4"/>
    </row>
    <row r="140" spans="1:8" x14ac:dyDescent="0.2">
      <c r="A140" s="766"/>
      <c r="B140" s="767" t="s">
        <v>115</v>
      </c>
      <c r="C140" s="767"/>
      <c r="D140" s="767"/>
      <c r="E140" s="767"/>
      <c r="F140" s="768">
        <f>F21</f>
        <v>1</v>
      </c>
      <c r="G140" s="769">
        <f ca="1">G139*F140</f>
        <v>4996.6899999999996</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3"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496</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472</v>
      </c>
      <c r="G16" s="1017"/>
      <c r="H16" s="3"/>
    </row>
    <row r="17" spans="1:8" ht="14.1" customHeight="1" x14ac:dyDescent="0.2">
      <c r="A17" s="1000" t="s">
        <v>21</v>
      </c>
      <c r="B17" s="1001"/>
      <c r="C17" s="1001"/>
      <c r="D17" s="1001"/>
      <c r="E17" s="1002"/>
      <c r="F17" s="1016" t="s">
        <v>148</v>
      </c>
      <c r="G17" s="1017"/>
      <c r="H17" s="3"/>
    </row>
    <row r="18" spans="1:8" ht="14.1" customHeight="1" x14ac:dyDescent="0.2">
      <c r="A18" s="1000" t="s">
        <v>1</v>
      </c>
      <c r="B18" s="1001"/>
      <c r="C18" s="1001"/>
      <c r="D18" s="1001"/>
      <c r="E18" s="1002"/>
      <c r="F18" s="1010">
        <v>1717.2</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467</v>
      </c>
      <c r="G23" s="1019"/>
    </row>
    <row r="24" spans="1:8" ht="25.5" customHeight="1" x14ac:dyDescent="0.2">
      <c r="A24" s="1046" t="s">
        <v>489</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1717.2</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269">
        <f>ROUND((ROUND((2*13),2)/52.5)*60,2)</f>
        <v>29.71</v>
      </c>
      <c r="G31" s="103">
        <f>ROUND((F18/192*0.2)*F31,2)</f>
        <v>53.14</v>
      </c>
      <c r="H31" s="56"/>
    </row>
    <row r="32" spans="1:8" s="35" customFormat="1" x14ac:dyDescent="0.2">
      <c r="A32" s="101" t="s">
        <v>34</v>
      </c>
      <c r="B32" s="993" t="s">
        <v>155</v>
      </c>
      <c r="C32" s="993"/>
      <c r="D32" s="993"/>
      <c r="E32" s="993"/>
      <c r="F32" s="102">
        <f>ROUND(SUM(F31)/25*5,2)</f>
        <v>5.94</v>
      </c>
      <c r="G32" s="103">
        <f>ROUND((F18/192*0.2)*F32,2)</f>
        <v>10.63</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2388.17</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198.93</v>
      </c>
      <c r="H37" s="54"/>
    </row>
    <row r="38" spans="1:8" x14ac:dyDescent="0.2">
      <c r="A38" s="108" t="s">
        <v>29</v>
      </c>
      <c r="B38" s="977" t="s">
        <v>157</v>
      </c>
      <c r="C38" s="978"/>
      <c r="D38" s="978"/>
      <c r="E38" s="990"/>
      <c r="F38" s="109">
        <f>ROUND((1/11)+(1/11)/3, 3)</f>
        <v>0.121</v>
      </c>
      <c r="G38" s="8">
        <f>ROUND(G$34*F38,2)</f>
        <v>288.97000000000003</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165.02</v>
      </c>
      <c r="H40" s="4"/>
    </row>
    <row r="41" spans="1:8" x14ac:dyDescent="0.2">
      <c r="A41" s="963" t="s">
        <v>41</v>
      </c>
      <c r="B41" s="964"/>
      <c r="C41" s="964"/>
      <c r="D41" s="964"/>
      <c r="E41" s="962"/>
      <c r="F41" s="42">
        <f>ROUND(SUM(F39:F40),4)</f>
        <v>0.27339999999999998</v>
      </c>
      <c r="G41" s="112">
        <f>SUM(G37:G40)</f>
        <v>652.91999999999996</v>
      </c>
      <c r="H41" s="4">
        <f>ROUND(G34*F41,2)</f>
        <v>652.92999999999995</v>
      </c>
    </row>
    <row r="42" spans="1:8" x14ac:dyDescent="0.2">
      <c r="A42" s="956" t="s">
        <v>118</v>
      </c>
      <c r="B42" s="957"/>
      <c r="C42" s="957"/>
      <c r="D42" s="957"/>
      <c r="E42" s="957"/>
      <c r="F42" s="957"/>
      <c r="G42" s="958"/>
      <c r="H42" s="4">
        <f>SUM(G41,G34)</f>
        <v>3041.09</v>
      </c>
    </row>
    <row r="43" spans="1:8" x14ac:dyDescent="0.2">
      <c r="A43" s="43" t="s">
        <v>28</v>
      </c>
      <c r="B43" s="959" t="s">
        <v>42</v>
      </c>
      <c r="C43" s="960"/>
      <c r="D43" s="960"/>
      <c r="E43" s="992"/>
      <c r="F43" s="44">
        <v>0.2</v>
      </c>
      <c r="G43" s="22">
        <f>ROUND((G$34)*F43,2)</f>
        <v>477.63</v>
      </c>
      <c r="H43" s="4"/>
    </row>
    <row r="44" spans="1:8" x14ac:dyDescent="0.2">
      <c r="A44" s="37" t="s">
        <v>29</v>
      </c>
      <c r="B44" s="975" t="s">
        <v>43</v>
      </c>
      <c r="C44" s="976"/>
      <c r="D44" s="976"/>
      <c r="E44" s="989"/>
      <c r="F44" s="106">
        <v>2.5000000000000001E-2</v>
      </c>
      <c r="G44" s="113">
        <f>ROUND((G$34)*F44,2)</f>
        <v>59.7</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35.82</v>
      </c>
      <c r="H46" s="4"/>
    </row>
    <row r="47" spans="1:8" x14ac:dyDescent="0.2">
      <c r="A47" s="37" t="s">
        <v>32</v>
      </c>
      <c r="B47" s="975" t="s">
        <v>46</v>
      </c>
      <c r="C47" s="976"/>
      <c r="D47" s="976"/>
      <c r="E47" s="989"/>
      <c r="F47" s="106">
        <v>0.01</v>
      </c>
      <c r="G47" s="113">
        <f t="shared" si="0"/>
        <v>23.88</v>
      </c>
      <c r="H47" s="4"/>
    </row>
    <row r="48" spans="1:8" x14ac:dyDescent="0.2">
      <c r="A48" s="37" t="s">
        <v>34</v>
      </c>
      <c r="B48" s="975" t="s">
        <v>47</v>
      </c>
      <c r="C48" s="976"/>
      <c r="D48" s="976"/>
      <c r="E48" s="989"/>
      <c r="F48" s="106">
        <v>6.0000000000000001E-3</v>
      </c>
      <c r="G48" s="113">
        <f t="shared" si="0"/>
        <v>14.33</v>
      </c>
      <c r="H48" s="4"/>
    </row>
    <row r="49" spans="1:8" x14ac:dyDescent="0.2">
      <c r="A49" s="37" t="s">
        <v>48</v>
      </c>
      <c r="B49" s="975" t="s">
        <v>49</v>
      </c>
      <c r="C49" s="976"/>
      <c r="D49" s="976"/>
      <c r="E49" s="989"/>
      <c r="F49" s="106">
        <v>2E-3</v>
      </c>
      <c r="G49" s="113">
        <f t="shared" si="0"/>
        <v>4.78</v>
      </c>
      <c r="H49" s="4"/>
    </row>
    <row r="50" spans="1:8" x14ac:dyDescent="0.2">
      <c r="A50" s="108" t="s">
        <v>50</v>
      </c>
      <c r="B50" s="977" t="s">
        <v>51</v>
      </c>
      <c r="C50" s="978"/>
      <c r="D50" s="978"/>
      <c r="E50" s="990"/>
      <c r="F50" s="109">
        <v>0.08</v>
      </c>
      <c r="G50" s="113">
        <f t="shared" si="0"/>
        <v>191.05</v>
      </c>
      <c r="H50" s="4"/>
    </row>
    <row r="51" spans="1:8" x14ac:dyDescent="0.2">
      <c r="A51" s="963" t="s">
        <v>52</v>
      </c>
      <c r="B51" s="964"/>
      <c r="C51" s="964"/>
      <c r="D51" s="964"/>
      <c r="E51" s="962"/>
      <c r="F51" s="42">
        <f>SUM(F43:F50)</f>
        <v>0.33800000000000002</v>
      </c>
      <c r="G51" s="112">
        <f>SUM(G43:G50)</f>
        <v>807.19</v>
      </c>
      <c r="H51" s="4">
        <f>ROUND(G34*F51,2)</f>
        <v>807.2</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52</v>
      </c>
      <c r="G53" s="14">
        <f>IF(ROUND((E53*F53)-(G27*0.06),2)&lt;0,0,ROUND((E53*F53)-(G27*0.06),2))</f>
        <v>0</v>
      </c>
      <c r="H53" s="36"/>
    </row>
    <row r="54" spans="1:8" s="35" customFormat="1" x14ac:dyDescent="0.2">
      <c r="A54" s="37" t="s">
        <v>55</v>
      </c>
      <c r="B54" s="981" t="s">
        <v>56</v>
      </c>
      <c r="C54" s="982"/>
      <c r="D54" s="982"/>
      <c r="E54" s="115">
        <f>20.76-1.39</f>
        <v>19.37</v>
      </c>
      <c r="F54" s="116">
        <v>26</v>
      </c>
      <c r="G54" s="103">
        <f>ROUND((E54*F54),2)</f>
        <v>503.62</v>
      </c>
      <c r="H54" s="36"/>
    </row>
    <row r="55" spans="1:8" s="35" customFormat="1" x14ac:dyDescent="0.2">
      <c r="A55" s="37" t="s">
        <v>57</v>
      </c>
      <c r="B55" s="981" t="s">
        <v>58</v>
      </c>
      <c r="C55" s="982"/>
      <c r="D55" s="982"/>
      <c r="E55" s="115">
        <v>144.68</v>
      </c>
      <c r="F55" s="116">
        <v>1</v>
      </c>
      <c r="G55" s="103">
        <f>ROUND((E55*F55),2)</f>
        <v>144.68</v>
      </c>
      <c r="H55" s="36"/>
    </row>
    <row r="56" spans="1:8" s="35" customFormat="1" x14ac:dyDescent="0.2">
      <c r="A56" s="37" t="s">
        <v>30</v>
      </c>
      <c r="B56" s="981" t="s">
        <v>149</v>
      </c>
      <c r="C56" s="982"/>
      <c r="D56" s="982"/>
      <c r="E56" s="115">
        <v>35.33</v>
      </c>
      <c r="F56" s="116">
        <v>1</v>
      </c>
      <c r="G56" s="103">
        <f>ROUND((E56*F56),2)</f>
        <v>35.33</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150</v>
      </c>
      <c r="C58" s="982"/>
      <c r="D58" s="982"/>
      <c r="E58" s="115">
        <f>20.76</f>
        <v>20.76</v>
      </c>
      <c r="F58" s="116">
        <v>1</v>
      </c>
      <c r="G58" s="103">
        <f>ROUND((E58*F58)/12,2)</f>
        <v>1.73</v>
      </c>
      <c r="H58" s="36"/>
    </row>
    <row r="59" spans="1:8" s="35" customFormat="1" x14ac:dyDescent="0.2">
      <c r="A59" s="37" t="s">
        <v>34</v>
      </c>
      <c r="B59" s="987" t="s">
        <v>180</v>
      </c>
      <c r="C59" s="988"/>
      <c r="D59" s="988"/>
      <c r="E59" s="115">
        <f>15.96</f>
        <v>15.96</v>
      </c>
      <c r="F59" s="117">
        <v>1</v>
      </c>
      <c r="G59" s="118">
        <f>ROUND((E59*F59),2)</f>
        <v>15.96</v>
      </c>
      <c r="H59" s="36"/>
    </row>
    <row r="60" spans="1:8" s="35" customFormat="1" x14ac:dyDescent="0.2">
      <c r="A60" s="37" t="s">
        <v>48</v>
      </c>
      <c r="B60" s="981" t="s">
        <v>254</v>
      </c>
      <c r="C60" s="982"/>
      <c r="D60" s="982"/>
      <c r="E60" s="115">
        <v>300</v>
      </c>
      <c r="F60" s="116">
        <v>1</v>
      </c>
      <c r="G60" s="103">
        <f>ROUND((E60*F60),2)</f>
        <v>300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1001.32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652.91999999999996</v>
      </c>
      <c r="H65" s="4"/>
    </row>
    <row r="66" spans="1:8" x14ac:dyDescent="0.2">
      <c r="A66" s="121" t="s">
        <v>64</v>
      </c>
      <c r="B66" s="927" t="s">
        <v>128</v>
      </c>
      <c r="C66" s="928"/>
      <c r="D66" s="928"/>
      <c r="E66" s="928"/>
      <c r="F66" s="18">
        <f>F51</f>
        <v>0.33800000000000002</v>
      </c>
      <c r="G66" s="122">
        <f>G51</f>
        <v>807.19</v>
      </c>
      <c r="H66" s="4"/>
    </row>
    <row r="67" spans="1:8" x14ac:dyDescent="0.2">
      <c r="A67" s="121" t="s">
        <v>65</v>
      </c>
      <c r="B67" s="927" t="s">
        <v>66</v>
      </c>
      <c r="C67" s="928"/>
      <c r="D67" s="928"/>
      <c r="E67" s="928"/>
      <c r="F67" s="929"/>
      <c r="G67" s="122">
        <f>G63</f>
        <v>1001.32</v>
      </c>
      <c r="H67" s="4"/>
    </row>
    <row r="68" spans="1:8" x14ac:dyDescent="0.2">
      <c r="A68" s="936" t="s">
        <v>67</v>
      </c>
      <c r="B68" s="937"/>
      <c r="C68" s="937"/>
      <c r="D68" s="937"/>
      <c r="E68" s="937"/>
      <c r="F68" s="938"/>
      <c r="G68" s="105">
        <f>SUM(G65:G67)</f>
        <v>2461.4299999999998</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ROUND(SUM(C108:E108),2)*F108</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255.24</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255.24</v>
      </c>
      <c r="H127" s="4">
        <f ca="1">ROUND(G139*F127,2)</f>
        <v>255.24</v>
      </c>
    </row>
    <row r="128" spans="1:8" x14ac:dyDescent="0.2">
      <c r="A128" s="936" t="s">
        <v>104</v>
      </c>
      <c r="B128" s="937"/>
      <c r="C128" s="937"/>
      <c r="D128" s="937"/>
      <c r="E128" s="937"/>
      <c r="F128" s="23">
        <f>SUM(F119,F120,F127)</f>
        <v>0.05</v>
      </c>
      <c r="G128" s="126">
        <f ca="1">SUM(G119:G126)</f>
        <v>255.24</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2388.17</v>
      </c>
      <c r="H130" s="4"/>
    </row>
    <row r="131" spans="1:8" x14ac:dyDescent="0.2">
      <c r="A131" s="121" t="s">
        <v>29</v>
      </c>
      <c r="B131" s="927" t="s">
        <v>107</v>
      </c>
      <c r="C131" s="928"/>
      <c r="D131" s="928"/>
      <c r="E131" s="928"/>
      <c r="F131" s="929"/>
      <c r="G131" s="122">
        <f>G68</f>
        <v>2461.4299999999998</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4849.6000000000004</v>
      </c>
      <c r="H135" s="4"/>
    </row>
    <row r="136" spans="1:8" x14ac:dyDescent="0.2">
      <c r="A136" s="121" t="s">
        <v>34</v>
      </c>
      <c r="B136" s="933" t="s">
        <v>112</v>
      </c>
      <c r="C136" s="934"/>
      <c r="D136" s="934"/>
      <c r="E136" s="934"/>
      <c r="F136" s="935"/>
      <c r="G136" s="122">
        <f ca="1">G128</f>
        <v>255.24</v>
      </c>
      <c r="H136" s="4"/>
    </row>
    <row r="137" spans="1:8" x14ac:dyDescent="0.2">
      <c r="A137" s="936" t="s">
        <v>113</v>
      </c>
      <c r="B137" s="937"/>
      <c r="C137" s="937"/>
      <c r="D137" s="937"/>
      <c r="E137" s="937"/>
      <c r="F137" s="938"/>
      <c r="G137" s="105">
        <f ca="1">SUM(G135:G136)</f>
        <v>5104.84</v>
      </c>
      <c r="H137" s="4">
        <f ca="1">SUM(G130:G136)-G135</f>
        <v>5104.84</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5104.84</v>
      </c>
      <c r="H139" s="4"/>
    </row>
    <row r="140" spans="1:8" x14ac:dyDescent="0.2">
      <c r="A140" s="766"/>
      <c r="B140" s="767" t="s">
        <v>115</v>
      </c>
      <c r="C140" s="767"/>
      <c r="D140" s="767"/>
      <c r="E140" s="767"/>
      <c r="F140" s="768">
        <f>F21</f>
        <v>1</v>
      </c>
      <c r="G140" s="769">
        <f ca="1">G139*F140</f>
        <v>5104.84</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7"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496</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498</v>
      </c>
      <c r="G16" s="1017"/>
      <c r="H16" s="3"/>
    </row>
    <row r="17" spans="1:8" ht="14.1" customHeight="1" x14ac:dyDescent="0.2">
      <c r="A17" s="1000" t="s">
        <v>21</v>
      </c>
      <c r="B17" s="1001"/>
      <c r="C17" s="1001"/>
      <c r="D17" s="1001"/>
      <c r="E17" s="1002"/>
      <c r="F17" s="1016" t="s">
        <v>148</v>
      </c>
      <c r="G17" s="1017"/>
      <c r="H17" s="3"/>
    </row>
    <row r="18" spans="1:8" ht="14.1" customHeight="1" x14ac:dyDescent="0.2">
      <c r="A18" s="1000" t="s">
        <v>1</v>
      </c>
      <c r="B18" s="1001"/>
      <c r="C18" s="1001"/>
      <c r="D18" s="1001"/>
      <c r="E18" s="1002"/>
      <c r="F18" s="1010">
        <v>1717.2</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7</v>
      </c>
      <c r="G22" s="1009"/>
    </row>
    <row r="23" spans="1:8" ht="12.75" customHeight="1" x14ac:dyDescent="0.2">
      <c r="A23" s="1005" t="s">
        <v>25</v>
      </c>
      <c r="B23" s="1006"/>
      <c r="C23" s="1006"/>
      <c r="D23" s="1006"/>
      <c r="E23" s="1007"/>
      <c r="F23" s="1018" t="s">
        <v>214</v>
      </c>
      <c r="G23" s="1019"/>
    </row>
    <row r="24" spans="1:8" ht="25.5" customHeight="1" x14ac:dyDescent="0.2">
      <c r="A24" s="1046" t="s">
        <v>490</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4" t="s">
        <v>27</v>
      </c>
      <c r="G26" s="100" t="s">
        <v>3</v>
      </c>
    </row>
    <row r="27" spans="1:8" s="35" customFormat="1" x14ac:dyDescent="0.2">
      <c r="A27" s="101" t="s">
        <v>28</v>
      </c>
      <c r="B27" s="995" t="s">
        <v>153</v>
      </c>
      <c r="C27" s="995"/>
      <c r="D27" s="995"/>
      <c r="E27" s="995"/>
      <c r="F27" s="102">
        <v>1</v>
      </c>
      <c r="G27" s="103">
        <f>F18*F27</f>
        <v>1717.2</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ROUND((ROUND((3*22),2)/52.5)*60,2)*0</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2324.4</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193.62</v>
      </c>
      <c r="H37" s="54"/>
    </row>
    <row r="38" spans="1:8" x14ac:dyDescent="0.2">
      <c r="A38" s="108" t="s">
        <v>29</v>
      </c>
      <c r="B38" s="977" t="s">
        <v>157</v>
      </c>
      <c r="C38" s="978"/>
      <c r="D38" s="978"/>
      <c r="E38" s="990"/>
      <c r="F38" s="109">
        <f>ROUND((1/11)+(1/11)/3, 3)</f>
        <v>0.121</v>
      </c>
      <c r="G38" s="8">
        <f>ROUND(G$34*F38,2)</f>
        <v>281.25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963" t="s">
        <v>41</v>
      </c>
      <c r="B41" s="964"/>
      <c r="C41" s="964"/>
      <c r="D41" s="964"/>
      <c r="E41" s="962"/>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92"/>
      <c r="F43" s="44">
        <v>0.2</v>
      </c>
      <c r="G43" s="22">
        <f>ROUND((G$34)*F43,2)</f>
        <v>464.88</v>
      </c>
      <c r="H43" s="4"/>
    </row>
    <row r="44" spans="1:8" x14ac:dyDescent="0.2">
      <c r="A44" s="37" t="s">
        <v>29</v>
      </c>
      <c r="B44" s="975" t="s">
        <v>43</v>
      </c>
      <c r="C44" s="976"/>
      <c r="D44" s="976"/>
      <c r="E44" s="989"/>
      <c r="F44" s="106">
        <v>2.5000000000000001E-2</v>
      </c>
      <c r="G44" s="113">
        <f>ROUND((G$34)*F44,2)</f>
        <v>58.11</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34.869999999999997</v>
      </c>
      <c r="H46" s="4"/>
    </row>
    <row r="47" spans="1:8" x14ac:dyDescent="0.2">
      <c r="A47" s="37" t="s">
        <v>32</v>
      </c>
      <c r="B47" s="975" t="s">
        <v>46</v>
      </c>
      <c r="C47" s="976"/>
      <c r="D47" s="976"/>
      <c r="E47" s="989"/>
      <c r="F47" s="106">
        <v>0.01</v>
      </c>
      <c r="G47" s="113">
        <f t="shared" si="0"/>
        <v>23.24</v>
      </c>
      <c r="H47" s="4"/>
    </row>
    <row r="48" spans="1:8" x14ac:dyDescent="0.2">
      <c r="A48" s="37" t="s">
        <v>34</v>
      </c>
      <c r="B48" s="975" t="s">
        <v>47</v>
      </c>
      <c r="C48" s="976"/>
      <c r="D48" s="976"/>
      <c r="E48" s="989"/>
      <c r="F48" s="106">
        <v>6.0000000000000001E-3</v>
      </c>
      <c r="G48" s="113">
        <f t="shared" si="0"/>
        <v>13.95</v>
      </c>
      <c r="H48" s="4"/>
    </row>
    <row r="49" spans="1:8" x14ac:dyDescent="0.2">
      <c r="A49" s="37" t="s">
        <v>48</v>
      </c>
      <c r="B49" s="975" t="s">
        <v>49</v>
      </c>
      <c r="C49" s="976"/>
      <c r="D49" s="976"/>
      <c r="E49" s="989"/>
      <c r="F49" s="106">
        <v>2E-3</v>
      </c>
      <c r="G49" s="113">
        <f t="shared" si="0"/>
        <v>4.6500000000000004</v>
      </c>
      <c r="H49" s="4"/>
    </row>
    <row r="50" spans="1:8" x14ac:dyDescent="0.2">
      <c r="A50" s="108" t="s">
        <v>50</v>
      </c>
      <c r="B50" s="977" t="s">
        <v>51</v>
      </c>
      <c r="C50" s="978"/>
      <c r="D50" s="978"/>
      <c r="E50" s="990"/>
      <c r="F50" s="109">
        <v>0.08</v>
      </c>
      <c r="G50" s="113">
        <f t="shared" si="0"/>
        <v>185.95</v>
      </c>
      <c r="H50" s="4"/>
    </row>
    <row r="51" spans="1:8" x14ac:dyDescent="0.2">
      <c r="A51" s="963" t="s">
        <v>52</v>
      </c>
      <c r="B51" s="964"/>
      <c r="C51" s="964"/>
      <c r="D51" s="964"/>
      <c r="E51" s="962"/>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55</v>
      </c>
      <c r="B54" s="981" t="s">
        <v>56</v>
      </c>
      <c r="C54" s="982"/>
      <c r="D54" s="982"/>
      <c r="E54" s="115">
        <f>20.76-1.39</f>
        <v>19.37</v>
      </c>
      <c r="F54" s="116">
        <v>21</v>
      </c>
      <c r="G54" s="103">
        <f>ROUND((E54*F54),2)</f>
        <v>406.77</v>
      </c>
      <c r="H54" s="36"/>
    </row>
    <row r="55" spans="1:8" s="35" customFormat="1" x14ac:dyDescent="0.2">
      <c r="A55" s="37" t="s">
        <v>57</v>
      </c>
      <c r="B55" s="981" t="s">
        <v>58</v>
      </c>
      <c r="C55" s="982"/>
      <c r="D55" s="982"/>
      <c r="E55" s="115">
        <v>144.68</v>
      </c>
      <c r="F55" s="116">
        <v>1</v>
      </c>
      <c r="G55" s="103">
        <f>ROUND((E55*F55),2)</f>
        <v>144.68</v>
      </c>
      <c r="H55" s="36"/>
    </row>
    <row r="56" spans="1:8" s="35" customFormat="1" x14ac:dyDescent="0.2">
      <c r="A56" s="37" t="s">
        <v>30</v>
      </c>
      <c r="B56" s="981" t="s">
        <v>149</v>
      </c>
      <c r="C56" s="982"/>
      <c r="D56" s="982"/>
      <c r="E56" s="115">
        <v>35.33</v>
      </c>
      <c r="F56" s="116">
        <v>1</v>
      </c>
      <c r="G56" s="103">
        <f>ROUND((E56*F56),2)</f>
        <v>35.33</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150</v>
      </c>
      <c r="C58" s="982"/>
      <c r="D58" s="982"/>
      <c r="E58" s="115">
        <f>20.76</f>
        <v>20.76</v>
      </c>
      <c r="F58" s="116">
        <v>1</v>
      </c>
      <c r="G58" s="103">
        <f>ROUND((E58*F58)/12,2)</f>
        <v>1.73</v>
      </c>
      <c r="H58" s="36"/>
    </row>
    <row r="59" spans="1:8" s="35" customFormat="1" x14ac:dyDescent="0.2">
      <c r="A59" s="37" t="s">
        <v>34</v>
      </c>
      <c r="B59" s="987" t="s">
        <v>180</v>
      </c>
      <c r="C59" s="988"/>
      <c r="D59" s="988"/>
      <c r="E59" s="115">
        <f>15.96</f>
        <v>15.96</v>
      </c>
      <c r="F59" s="117">
        <v>1</v>
      </c>
      <c r="G59" s="118">
        <f>ROUND((E59*F59),2)</f>
        <v>15.96</v>
      </c>
      <c r="H59" s="36"/>
    </row>
    <row r="60" spans="1:8" s="35" customFormat="1" x14ac:dyDescent="0.2">
      <c r="A60" s="37" t="s">
        <v>48</v>
      </c>
      <c r="B60" s="981" t="s">
        <v>254</v>
      </c>
      <c r="C60" s="982"/>
      <c r="D60" s="982"/>
      <c r="E60" s="115">
        <v>300</v>
      </c>
      <c r="F60" s="116">
        <v>1</v>
      </c>
      <c r="G60" s="103">
        <f>ROUND((E60*F60),2)</f>
        <v>300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904.47</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635.49</v>
      </c>
      <c r="H65" s="4"/>
    </row>
    <row r="66" spans="1:8" x14ac:dyDescent="0.2">
      <c r="A66" s="121" t="s">
        <v>64</v>
      </c>
      <c r="B66" s="927" t="s">
        <v>128</v>
      </c>
      <c r="C66" s="928"/>
      <c r="D66" s="928"/>
      <c r="E66" s="928"/>
      <c r="F66" s="18">
        <f>F51</f>
        <v>0.33800000000000002</v>
      </c>
      <c r="G66" s="122">
        <f>G51</f>
        <v>785.65</v>
      </c>
      <c r="H66" s="4"/>
    </row>
    <row r="67" spans="1:8" x14ac:dyDescent="0.2">
      <c r="A67" s="121" t="s">
        <v>65</v>
      </c>
      <c r="B67" s="927" t="s">
        <v>66</v>
      </c>
      <c r="C67" s="928"/>
      <c r="D67" s="928"/>
      <c r="E67" s="928"/>
      <c r="F67" s="929"/>
      <c r="G67" s="122">
        <f>G63</f>
        <v>904.47</v>
      </c>
      <c r="H67" s="4"/>
    </row>
    <row r="68" spans="1:8" x14ac:dyDescent="0.2">
      <c r="A68" s="936" t="s">
        <v>67</v>
      </c>
      <c r="B68" s="937"/>
      <c r="C68" s="937"/>
      <c r="D68" s="937"/>
      <c r="E68" s="937"/>
      <c r="F68" s="938"/>
      <c r="G68" s="105">
        <f>SUM(G65:G67)</f>
        <v>2325.61</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ROUND(SUM(C108:E108),2)*F108</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244.74</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244.74</v>
      </c>
      <c r="H127" s="4">
        <f ca="1">ROUND(G139*F127,2)</f>
        <v>244.74</v>
      </c>
    </row>
    <row r="128" spans="1:8" x14ac:dyDescent="0.2">
      <c r="A128" s="936" t="s">
        <v>104</v>
      </c>
      <c r="B128" s="937"/>
      <c r="C128" s="937"/>
      <c r="D128" s="937"/>
      <c r="E128" s="937"/>
      <c r="F128" s="23">
        <f>SUM(F119,F120,F127)</f>
        <v>0.05</v>
      </c>
      <c r="G128" s="126">
        <f ca="1">SUM(G119:G126)</f>
        <v>244.74</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2324.4</v>
      </c>
      <c r="H130" s="4"/>
    </row>
    <row r="131" spans="1:8" x14ac:dyDescent="0.2">
      <c r="A131" s="121" t="s">
        <v>29</v>
      </c>
      <c r="B131" s="927" t="s">
        <v>107</v>
      </c>
      <c r="C131" s="928"/>
      <c r="D131" s="928"/>
      <c r="E131" s="928"/>
      <c r="F131" s="929"/>
      <c r="G131" s="122">
        <f>G68</f>
        <v>2325.61</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4650.01</v>
      </c>
      <c r="H135" s="4"/>
    </row>
    <row r="136" spans="1:8" x14ac:dyDescent="0.2">
      <c r="A136" s="121" t="s">
        <v>34</v>
      </c>
      <c r="B136" s="933" t="s">
        <v>112</v>
      </c>
      <c r="C136" s="934"/>
      <c r="D136" s="934"/>
      <c r="E136" s="934"/>
      <c r="F136" s="935"/>
      <c r="G136" s="122">
        <f ca="1">G128</f>
        <v>244.74</v>
      </c>
      <c r="H136" s="4"/>
    </row>
    <row r="137" spans="1:8" x14ac:dyDescent="0.2">
      <c r="A137" s="936" t="s">
        <v>113</v>
      </c>
      <c r="B137" s="937"/>
      <c r="C137" s="937"/>
      <c r="D137" s="937"/>
      <c r="E137" s="937"/>
      <c r="F137" s="938"/>
      <c r="G137" s="105">
        <f ca="1">SUM(G135:G136)</f>
        <v>4894.75</v>
      </c>
      <c r="H137" s="4">
        <f ca="1">SUM(G130:G136)-G135</f>
        <v>4894.75</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4894.75</v>
      </c>
      <c r="H139" s="4"/>
    </row>
    <row r="140" spans="1:8" x14ac:dyDescent="0.2">
      <c r="A140" s="766"/>
      <c r="B140" s="767" t="s">
        <v>115</v>
      </c>
      <c r="C140" s="767"/>
      <c r="D140" s="767"/>
      <c r="E140" s="767"/>
      <c r="F140" s="768">
        <f>F21</f>
        <v>1</v>
      </c>
      <c r="G140" s="769">
        <f ca="1">G139*F140</f>
        <v>4894.75</v>
      </c>
      <c r="H140" s="4"/>
    </row>
    <row r="141" spans="1:8" x14ac:dyDescent="0.2">
      <c r="F141" s="475"/>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3"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496</v>
      </c>
      <c r="G7" s="1036"/>
    </row>
    <row r="8" spans="1:8" ht="19.5" customHeight="1" x14ac:dyDescent="0.2">
      <c r="A8" s="1040" t="s">
        <v>215</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t="s">
        <v>465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216</v>
      </c>
      <c r="G16" s="1017"/>
      <c r="H16" s="3"/>
    </row>
    <row r="17" spans="1:8" ht="14.1" customHeight="1" x14ac:dyDescent="0.2">
      <c r="A17" s="1000" t="s">
        <v>21</v>
      </c>
      <c r="B17" s="1001"/>
      <c r="C17" s="1001"/>
      <c r="D17" s="1001"/>
      <c r="E17" s="1002"/>
      <c r="F17" s="1016" t="s">
        <v>218</v>
      </c>
      <c r="G17" s="1017"/>
      <c r="H17" s="3"/>
    </row>
    <row r="18" spans="1:8" ht="14.1" customHeight="1" x14ac:dyDescent="0.2">
      <c r="A18" s="1000" t="s">
        <v>1</v>
      </c>
      <c r="B18" s="1001"/>
      <c r="C18" s="1001"/>
      <c r="D18" s="1001"/>
      <c r="E18" s="1002"/>
      <c r="F18" s="1010">
        <v>1732.39</v>
      </c>
      <c r="G18" s="1011"/>
    </row>
    <row r="19" spans="1:8" ht="14.1" customHeight="1" x14ac:dyDescent="0.2">
      <c r="A19" s="1005" t="s">
        <v>8</v>
      </c>
      <c r="B19" s="1006"/>
      <c r="C19" s="1006"/>
      <c r="D19" s="1006"/>
      <c r="E19" s="1007"/>
      <c r="F19" s="1012">
        <v>45717</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2</v>
      </c>
      <c r="G22" s="1009"/>
    </row>
    <row r="23" spans="1:8" ht="12.75" customHeight="1" x14ac:dyDescent="0.2">
      <c r="A23" s="1005" t="s">
        <v>25</v>
      </c>
      <c r="B23" s="1006"/>
      <c r="C23" s="1006"/>
      <c r="D23" s="1006"/>
      <c r="E23" s="1007"/>
      <c r="F23" s="1018" t="s">
        <v>214</v>
      </c>
      <c r="G23" s="1019"/>
    </row>
    <row r="24" spans="1:8" ht="21" customHeight="1" x14ac:dyDescent="0.2">
      <c r="A24" s="1046" t="s">
        <v>470</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1732.39</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0.2</v>
      </c>
      <c r="G29" s="103">
        <f>ROUND(F15*F29,2)</f>
        <v>303.60000000000002</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2035.99</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169.6</v>
      </c>
      <c r="H37" s="54"/>
    </row>
    <row r="38" spans="1:8" x14ac:dyDescent="0.2">
      <c r="A38" s="108" t="s">
        <v>29</v>
      </c>
      <c r="B38" s="977" t="s">
        <v>157</v>
      </c>
      <c r="C38" s="978"/>
      <c r="D38" s="978"/>
      <c r="E38" s="990"/>
      <c r="F38" s="109">
        <f>ROUND((1/11)+(1/11)/3, 3)</f>
        <v>0.121</v>
      </c>
      <c r="G38" s="8">
        <f>ROUND(G$34*F38,2)</f>
        <v>246.35</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963" t="s">
        <v>41</v>
      </c>
      <c r="B41" s="964"/>
      <c r="C41" s="964"/>
      <c r="D41" s="964"/>
      <c r="E41" s="962"/>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92"/>
      <c r="F43" s="44">
        <v>0.2</v>
      </c>
      <c r="G43" s="22">
        <f>ROUND((G$34)*F43,2)</f>
        <v>407.2</v>
      </c>
      <c r="H43" s="4"/>
    </row>
    <row r="44" spans="1:8" x14ac:dyDescent="0.2">
      <c r="A44" s="37" t="s">
        <v>29</v>
      </c>
      <c r="B44" s="975" t="s">
        <v>43</v>
      </c>
      <c r="C44" s="976"/>
      <c r="D44" s="976"/>
      <c r="E44" s="989"/>
      <c r="F44" s="106">
        <v>2.5000000000000001E-2</v>
      </c>
      <c r="G44" s="113">
        <f>ROUND((G$34)*F44,2)</f>
        <v>50.9</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30.54</v>
      </c>
      <c r="H46" s="4"/>
    </row>
    <row r="47" spans="1:8" x14ac:dyDescent="0.2">
      <c r="A47" s="37" t="s">
        <v>32</v>
      </c>
      <c r="B47" s="975" t="s">
        <v>46</v>
      </c>
      <c r="C47" s="976"/>
      <c r="D47" s="976"/>
      <c r="E47" s="989"/>
      <c r="F47" s="106">
        <v>0.01</v>
      </c>
      <c r="G47" s="113">
        <f t="shared" si="0"/>
        <v>20.36</v>
      </c>
      <c r="H47" s="4"/>
    </row>
    <row r="48" spans="1:8" x14ac:dyDescent="0.2">
      <c r="A48" s="37" t="s">
        <v>34</v>
      </c>
      <c r="B48" s="975" t="s">
        <v>47</v>
      </c>
      <c r="C48" s="976"/>
      <c r="D48" s="976"/>
      <c r="E48" s="989"/>
      <c r="F48" s="106">
        <v>6.0000000000000001E-3</v>
      </c>
      <c r="G48" s="113">
        <f t="shared" si="0"/>
        <v>12.22</v>
      </c>
      <c r="H48" s="4"/>
    </row>
    <row r="49" spans="1:8" x14ac:dyDescent="0.2">
      <c r="A49" s="37" t="s">
        <v>48</v>
      </c>
      <c r="B49" s="975" t="s">
        <v>49</v>
      </c>
      <c r="C49" s="976"/>
      <c r="D49" s="976"/>
      <c r="E49" s="989"/>
      <c r="F49" s="106">
        <v>2E-3</v>
      </c>
      <c r="G49" s="113">
        <f t="shared" si="0"/>
        <v>4.07</v>
      </c>
      <c r="H49" s="4"/>
    </row>
    <row r="50" spans="1:8" x14ac:dyDescent="0.2">
      <c r="A50" s="108" t="s">
        <v>50</v>
      </c>
      <c r="B50" s="977" t="s">
        <v>51</v>
      </c>
      <c r="C50" s="978"/>
      <c r="D50" s="978"/>
      <c r="E50" s="990"/>
      <c r="F50" s="109">
        <v>0.08</v>
      </c>
      <c r="G50" s="113">
        <f t="shared" si="0"/>
        <v>162.88</v>
      </c>
      <c r="H50" s="4"/>
    </row>
    <row r="51" spans="1:8" x14ac:dyDescent="0.2">
      <c r="A51" s="963" t="s">
        <v>52</v>
      </c>
      <c r="B51" s="964"/>
      <c r="C51" s="964"/>
      <c r="D51" s="964"/>
      <c r="E51" s="962"/>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55</v>
      </c>
      <c r="B54" s="981" t="s">
        <v>56</v>
      </c>
      <c r="C54" s="982"/>
      <c r="D54" s="982"/>
      <c r="E54" s="115">
        <f>(12.5-1.4)</f>
        <v>11.1</v>
      </c>
      <c r="F54" s="116">
        <v>21</v>
      </c>
      <c r="G54" s="103">
        <f>ROUND((E54*F54),2)</f>
        <v>233.1</v>
      </c>
      <c r="H54" s="36"/>
    </row>
    <row r="55" spans="1:8" s="35" customFormat="1" x14ac:dyDescent="0.2">
      <c r="A55" s="37" t="s">
        <v>57</v>
      </c>
      <c r="B55" s="981" t="s">
        <v>58</v>
      </c>
      <c r="C55" s="982"/>
      <c r="D55" s="982"/>
      <c r="E55" s="115">
        <f>138.6</f>
        <v>138.6</v>
      </c>
      <c r="F55" s="116">
        <v>1</v>
      </c>
      <c r="G55" s="103">
        <f>ROUND((E55*F55),2)</f>
        <v>138.6</v>
      </c>
      <c r="H55" s="36"/>
    </row>
    <row r="56" spans="1:8" s="35" customFormat="1" x14ac:dyDescent="0.2">
      <c r="A56" s="37" t="s">
        <v>30</v>
      </c>
      <c r="B56" s="981" t="s">
        <v>255</v>
      </c>
      <c r="C56" s="982"/>
      <c r="D56" s="982"/>
      <c r="E56" s="115">
        <v>34.94</v>
      </c>
      <c r="F56" s="116">
        <v>1</v>
      </c>
      <c r="G56" s="103">
        <f>ROUND((E56*F56),2)</f>
        <v>34.94</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217</v>
      </c>
      <c r="C58" s="982"/>
      <c r="D58" s="982"/>
      <c r="E58" s="115">
        <f>ROUND(((F18/220)*8)*1.5,2)</f>
        <v>94.49</v>
      </c>
      <c r="F58" s="116">
        <v>1</v>
      </c>
      <c r="G58" s="103">
        <f>ROUND((E58*F58)/12,2)</f>
        <v>7.87</v>
      </c>
      <c r="H58" s="36"/>
    </row>
    <row r="59" spans="1:8" s="35" customFormat="1" x14ac:dyDescent="0.2">
      <c r="A59" s="37" t="s">
        <v>34</v>
      </c>
      <c r="B59" s="987" t="s">
        <v>180</v>
      </c>
      <c r="C59" s="988"/>
      <c r="D59" s="988"/>
      <c r="E59" s="115">
        <f>9.31</f>
        <v>9.31</v>
      </c>
      <c r="F59" s="117">
        <v>1</v>
      </c>
      <c r="G59" s="118">
        <f>ROUND((E59*F59),2)</f>
        <v>9.31</v>
      </c>
      <c r="H59" s="36"/>
    </row>
    <row r="60" spans="1:8" s="35" customFormat="1" x14ac:dyDescent="0.2">
      <c r="A60" s="37" t="s">
        <v>48</v>
      </c>
      <c r="B60" s="981" t="s">
        <v>152</v>
      </c>
      <c r="C60" s="982"/>
      <c r="D60" s="982"/>
      <c r="E60" s="115">
        <v>0</v>
      </c>
      <c r="F60" s="116">
        <v>1</v>
      </c>
      <c r="G60" s="119">
        <f>ROUND((E60*F60),2)</f>
        <v>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423.82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556.64</v>
      </c>
      <c r="H65" s="4"/>
    </row>
    <row r="66" spans="1:8" x14ac:dyDescent="0.2">
      <c r="A66" s="121" t="s">
        <v>64</v>
      </c>
      <c r="B66" s="927" t="s">
        <v>128</v>
      </c>
      <c r="C66" s="928"/>
      <c r="D66" s="928"/>
      <c r="E66" s="928"/>
      <c r="F66" s="18">
        <f>F51</f>
        <v>0.33800000000000002</v>
      </c>
      <c r="G66" s="122">
        <f>G51</f>
        <v>688.17</v>
      </c>
      <c r="H66" s="4"/>
    </row>
    <row r="67" spans="1:8" x14ac:dyDescent="0.2">
      <c r="A67" s="121" t="s">
        <v>65</v>
      </c>
      <c r="B67" s="927" t="s">
        <v>66</v>
      </c>
      <c r="C67" s="928"/>
      <c r="D67" s="928"/>
      <c r="E67" s="928"/>
      <c r="F67" s="929"/>
      <c r="G67" s="122">
        <f>G63</f>
        <v>423.82</v>
      </c>
      <c r="H67" s="4"/>
    </row>
    <row r="68" spans="1:8" x14ac:dyDescent="0.2">
      <c r="A68" s="936" t="s">
        <v>67</v>
      </c>
      <c r="B68" s="937"/>
      <c r="C68" s="937"/>
      <c r="D68" s="937"/>
      <c r="E68" s="937"/>
      <c r="F68" s="938"/>
      <c r="G68" s="105">
        <f>SUM(G65:G67)</f>
        <v>1668.63</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ROUND((E108*F108),2)</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 t="shared" ref="G110:G115" si="3">ROUND((E110*F110),2)</f>
        <v>0</v>
      </c>
      <c r="H110" s="36"/>
    </row>
    <row r="111" spans="1:8" s="35" customFormat="1" x14ac:dyDescent="0.2">
      <c r="A111" s="165" t="s">
        <v>31</v>
      </c>
      <c r="B111" s="919" t="s">
        <v>59</v>
      </c>
      <c r="C111" s="920"/>
      <c r="D111" s="920"/>
      <c r="E111" s="45">
        <v>0</v>
      </c>
      <c r="F111" s="48">
        <v>1</v>
      </c>
      <c r="G111" s="103">
        <f t="shared" si="3"/>
        <v>0</v>
      </c>
      <c r="H111" s="36"/>
    </row>
    <row r="112" spans="1:8" s="35" customFormat="1" x14ac:dyDescent="0.2">
      <c r="A112" s="37" t="s">
        <v>32</v>
      </c>
      <c r="B112" s="919" t="s">
        <v>59</v>
      </c>
      <c r="C112" s="920"/>
      <c r="D112" s="920"/>
      <c r="E112" s="45">
        <v>0</v>
      </c>
      <c r="F112" s="48">
        <v>1</v>
      </c>
      <c r="G112" s="103">
        <f t="shared" si="3"/>
        <v>0</v>
      </c>
      <c r="H112" s="36"/>
    </row>
    <row r="113" spans="1:8" s="35" customFormat="1" x14ac:dyDescent="0.2">
      <c r="A113" s="37" t="s">
        <v>34</v>
      </c>
      <c r="B113" s="919" t="s">
        <v>59</v>
      </c>
      <c r="C113" s="920"/>
      <c r="D113" s="920"/>
      <c r="E113" s="45">
        <v>0</v>
      </c>
      <c r="F113" s="48">
        <v>1</v>
      </c>
      <c r="G113" s="103">
        <f t="shared" si="3"/>
        <v>0</v>
      </c>
      <c r="H113" s="36"/>
    </row>
    <row r="114" spans="1:8" s="35" customFormat="1" x14ac:dyDescent="0.2">
      <c r="A114" s="165" t="s">
        <v>48</v>
      </c>
      <c r="B114" s="919" t="s">
        <v>59</v>
      </c>
      <c r="C114" s="920"/>
      <c r="D114" s="920"/>
      <c r="E114" s="45">
        <v>0</v>
      </c>
      <c r="F114" s="48">
        <v>1</v>
      </c>
      <c r="G114" s="103">
        <f t="shared" si="3"/>
        <v>0</v>
      </c>
      <c r="H114" s="36"/>
    </row>
    <row r="115" spans="1:8" s="35" customFormat="1" x14ac:dyDescent="0.2">
      <c r="A115" s="37" t="s">
        <v>50</v>
      </c>
      <c r="B115" s="968" t="s">
        <v>59</v>
      </c>
      <c r="C115" s="969"/>
      <c r="D115" s="969"/>
      <c r="E115" s="45">
        <v>0</v>
      </c>
      <c r="F115" s="48">
        <v>1</v>
      </c>
      <c r="G115" s="103">
        <f t="shared" si="3"/>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194.98</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194.98</v>
      </c>
      <c r="H127" s="4">
        <f ca="1">ROUND(G139*F127,2)</f>
        <v>194.98</v>
      </c>
    </row>
    <row r="128" spans="1:8" x14ac:dyDescent="0.2">
      <c r="A128" s="936" t="s">
        <v>104</v>
      </c>
      <c r="B128" s="937"/>
      <c r="C128" s="937"/>
      <c r="D128" s="937"/>
      <c r="E128" s="937"/>
      <c r="F128" s="23">
        <f>SUM(F119,F120,F127)</f>
        <v>0.05</v>
      </c>
      <c r="G128" s="126">
        <f ca="1">SUM(G119:G126)</f>
        <v>194.98</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2035.99</v>
      </c>
      <c r="H130" s="4"/>
    </row>
    <row r="131" spans="1:8" x14ac:dyDescent="0.2">
      <c r="A131" s="121" t="s">
        <v>29</v>
      </c>
      <c r="B131" s="927" t="s">
        <v>107</v>
      </c>
      <c r="C131" s="928"/>
      <c r="D131" s="928"/>
      <c r="E131" s="928"/>
      <c r="F131" s="929"/>
      <c r="G131" s="122">
        <f>G68</f>
        <v>1668.63</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3704.62</v>
      </c>
      <c r="H135" s="4"/>
    </row>
    <row r="136" spans="1:8" x14ac:dyDescent="0.2">
      <c r="A136" s="121" t="s">
        <v>34</v>
      </c>
      <c r="B136" s="933" t="s">
        <v>112</v>
      </c>
      <c r="C136" s="934"/>
      <c r="D136" s="934"/>
      <c r="E136" s="934"/>
      <c r="F136" s="935"/>
      <c r="G136" s="122">
        <f ca="1">G128</f>
        <v>194.98</v>
      </c>
      <c r="H136" s="4"/>
    </row>
    <row r="137" spans="1:8" x14ac:dyDescent="0.2">
      <c r="A137" s="936" t="s">
        <v>113</v>
      </c>
      <c r="B137" s="937"/>
      <c r="C137" s="937"/>
      <c r="D137" s="937"/>
      <c r="E137" s="937"/>
      <c r="F137" s="938"/>
      <c r="G137" s="105">
        <f ca="1">SUM(G135:G136)</f>
        <v>3899.6</v>
      </c>
      <c r="H137" s="4">
        <f ca="1">SUM(G130:G136)-G135</f>
        <v>3899.6</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3899.6</v>
      </c>
      <c r="H139" s="4"/>
    </row>
    <row r="140" spans="1:8" x14ac:dyDescent="0.2">
      <c r="A140" s="766"/>
      <c r="B140" s="767" t="s">
        <v>115</v>
      </c>
      <c r="C140" s="767"/>
      <c r="D140" s="767"/>
      <c r="E140" s="767"/>
      <c r="F140" s="768">
        <f>F21</f>
        <v>1</v>
      </c>
      <c r="G140" s="769">
        <f ca="1">G139*F140</f>
        <v>3899.6</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496</v>
      </c>
      <c r="G7" s="1036"/>
    </row>
    <row r="8" spans="1:8" ht="19.5" customHeight="1" x14ac:dyDescent="0.2">
      <c r="A8" s="1040" t="s">
        <v>215</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t="s">
        <v>465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414</v>
      </c>
      <c r="G16" s="1017"/>
      <c r="H16" s="3"/>
    </row>
    <row r="17" spans="1:8" ht="14.1" customHeight="1" x14ac:dyDescent="0.2">
      <c r="A17" s="1000" t="s">
        <v>21</v>
      </c>
      <c r="B17" s="1001"/>
      <c r="C17" s="1001"/>
      <c r="D17" s="1001"/>
      <c r="E17" s="1002"/>
      <c r="F17" s="1016" t="s">
        <v>415</v>
      </c>
      <c r="G17" s="1017"/>
      <c r="H17" s="3"/>
    </row>
    <row r="18" spans="1:8" ht="14.1" customHeight="1" x14ac:dyDescent="0.2">
      <c r="A18" s="1000" t="s">
        <v>1</v>
      </c>
      <c r="B18" s="1001"/>
      <c r="C18" s="1001"/>
      <c r="D18" s="1001"/>
      <c r="E18" s="1002"/>
      <c r="F18" s="1010">
        <v>1951.37</v>
      </c>
      <c r="G18" s="1011"/>
    </row>
    <row r="19" spans="1:8" ht="14.1" customHeight="1" x14ac:dyDescent="0.2">
      <c r="A19" s="1005" t="s">
        <v>8</v>
      </c>
      <c r="B19" s="1006"/>
      <c r="C19" s="1006"/>
      <c r="D19" s="1006"/>
      <c r="E19" s="1007"/>
      <c r="F19" s="1012">
        <v>45717</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1" customHeight="1" x14ac:dyDescent="0.2">
      <c r="A24" s="1046" t="s">
        <v>470</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1951.37</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0.2</v>
      </c>
      <c r="G29" s="103">
        <f>ROUND(F15*F29,2)</f>
        <v>303.60000000000002</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ROUND((ROUND((0*15.22),2)/52.5)*60,2)</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2254.9699999999998</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187.84</v>
      </c>
      <c r="H37" s="54"/>
    </row>
    <row r="38" spans="1:8" x14ac:dyDescent="0.2">
      <c r="A38" s="108" t="s">
        <v>29</v>
      </c>
      <c r="B38" s="977" t="s">
        <v>157</v>
      </c>
      <c r="C38" s="978"/>
      <c r="D38" s="978"/>
      <c r="E38" s="990"/>
      <c r="F38" s="109">
        <f>ROUND((1/11)+(1/11)/3, 3)</f>
        <v>0.121</v>
      </c>
      <c r="G38" s="8">
        <f>ROUND(G$34*F38,2)</f>
        <v>272.85000000000002</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155.82</v>
      </c>
      <c r="H40" s="4"/>
    </row>
    <row r="41" spans="1:8" x14ac:dyDescent="0.2">
      <c r="A41" s="963" t="s">
        <v>41</v>
      </c>
      <c r="B41" s="964"/>
      <c r="C41" s="964"/>
      <c r="D41" s="964"/>
      <c r="E41" s="962"/>
      <c r="F41" s="42">
        <f>ROUND(SUM(F39:F40),4)</f>
        <v>0.27339999999999998</v>
      </c>
      <c r="G41" s="112">
        <f>SUM(G37:G40)</f>
        <v>616.51</v>
      </c>
      <c r="H41" s="4">
        <f>ROUND(G34*F41,2)</f>
        <v>616.51</v>
      </c>
    </row>
    <row r="42" spans="1:8" x14ac:dyDescent="0.2">
      <c r="A42" s="956" t="s">
        <v>118</v>
      </c>
      <c r="B42" s="957"/>
      <c r="C42" s="957"/>
      <c r="D42" s="957"/>
      <c r="E42" s="957"/>
      <c r="F42" s="957"/>
      <c r="G42" s="958"/>
      <c r="H42" s="4">
        <f>SUM(G41,G34)</f>
        <v>2871.48</v>
      </c>
    </row>
    <row r="43" spans="1:8" x14ac:dyDescent="0.2">
      <c r="A43" s="43" t="s">
        <v>28</v>
      </c>
      <c r="B43" s="959" t="s">
        <v>42</v>
      </c>
      <c r="C43" s="960"/>
      <c r="D43" s="960"/>
      <c r="E43" s="992"/>
      <c r="F43" s="44">
        <v>0.2</v>
      </c>
      <c r="G43" s="22">
        <f>ROUND((G$34)*F43,2)</f>
        <v>450.99</v>
      </c>
      <c r="H43" s="4"/>
    </row>
    <row r="44" spans="1:8" x14ac:dyDescent="0.2">
      <c r="A44" s="37" t="s">
        <v>29</v>
      </c>
      <c r="B44" s="975" t="s">
        <v>43</v>
      </c>
      <c r="C44" s="976"/>
      <c r="D44" s="976"/>
      <c r="E44" s="989"/>
      <c r="F44" s="106">
        <v>2.5000000000000001E-2</v>
      </c>
      <c r="G44" s="113">
        <f>ROUND((G$34)*F44,2)</f>
        <v>56.37</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33.82</v>
      </c>
      <c r="H46" s="4"/>
    </row>
    <row r="47" spans="1:8" x14ac:dyDescent="0.2">
      <c r="A47" s="37" t="s">
        <v>32</v>
      </c>
      <c r="B47" s="975" t="s">
        <v>46</v>
      </c>
      <c r="C47" s="976"/>
      <c r="D47" s="976"/>
      <c r="E47" s="989"/>
      <c r="F47" s="106">
        <v>0.01</v>
      </c>
      <c r="G47" s="113">
        <f t="shared" si="0"/>
        <v>22.55</v>
      </c>
      <c r="H47" s="4"/>
    </row>
    <row r="48" spans="1:8" x14ac:dyDescent="0.2">
      <c r="A48" s="37" t="s">
        <v>34</v>
      </c>
      <c r="B48" s="975" t="s">
        <v>47</v>
      </c>
      <c r="C48" s="976"/>
      <c r="D48" s="976"/>
      <c r="E48" s="989"/>
      <c r="F48" s="106">
        <v>6.0000000000000001E-3</v>
      </c>
      <c r="G48" s="113">
        <f t="shared" si="0"/>
        <v>13.53</v>
      </c>
      <c r="H48" s="4"/>
    </row>
    <row r="49" spans="1:8" x14ac:dyDescent="0.2">
      <c r="A49" s="37" t="s">
        <v>48</v>
      </c>
      <c r="B49" s="975" t="s">
        <v>49</v>
      </c>
      <c r="C49" s="976"/>
      <c r="D49" s="976"/>
      <c r="E49" s="989"/>
      <c r="F49" s="106">
        <v>2E-3</v>
      </c>
      <c r="G49" s="113">
        <f t="shared" si="0"/>
        <v>4.51</v>
      </c>
      <c r="H49" s="4"/>
    </row>
    <row r="50" spans="1:8" x14ac:dyDescent="0.2">
      <c r="A50" s="108" t="s">
        <v>50</v>
      </c>
      <c r="B50" s="977" t="s">
        <v>51</v>
      </c>
      <c r="C50" s="978"/>
      <c r="D50" s="978"/>
      <c r="E50" s="990"/>
      <c r="F50" s="109">
        <v>0.08</v>
      </c>
      <c r="G50" s="113">
        <f t="shared" si="0"/>
        <v>180.4</v>
      </c>
      <c r="H50" s="4"/>
    </row>
    <row r="51" spans="1:8" x14ac:dyDescent="0.2">
      <c r="A51" s="963" t="s">
        <v>52</v>
      </c>
      <c r="B51" s="964"/>
      <c r="C51" s="964"/>
      <c r="D51" s="964"/>
      <c r="E51" s="962"/>
      <c r="F51" s="42">
        <f>SUM(F43:F50)</f>
        <v>0.33800000000000002</v>
      </c>
      <c r="G51" s="112">
        <f>SUM(G43:G50)</f>
        <v>762.17</v>
      </c>
      <c r="H51" s="4">
        <f>ROUND(G34*F51,2)</f>
        <v>762.18</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55</v>
      </c>
      <c r="B54" s="981" t="s">
        <v>56</v>
      </c>
      <c r="C54" s="982"/>
      <c r="D54" s="982"/>
      <c r="E54" s="115">
        <f>(12.5-1.4)</f>
        <v>11.1</v>
      </c>
      <c r="F54" s="116">
        <v>21</v>
      </c>
      <c r="G54" s="103">
        <f>ROUND((E54*F54),2)</f>
        <v>233.1</v>
      </c>
      <c r="H54" s="36"/>
    </row>
    <row r="55" spans="1:8" s="35" customFormat="1" x14ac:dyDescent="0.2">
      <c r="A55" s="37" t="s">
        <v>57</v>
      </c>
      <c r="B55" s="981" t="s">
        <v>58</v>
      </c>
      <c r="C55" s="982"/>
      <c r="D55" s="982"/>
      <c r="E55" s="115">
        <f>138.6</f>
        <v>138.6</v>
      </c>
      <c r="F55" s="116">
        <v>1</v>
      </c>
      <c r="G55" s="103">
        <f>ROUND((E55*F55),2)</f>
        <v>138.6</v>
      </c>
      <c r="H55" s="36"/>
    </row>
    <row r="56" spans="1:8" s="35" customFormat="1" x14ac:dyDescent="0.2">
      <c r="A56" s="37" t="s">
        <v>30</v>
      </c>
      <c r="B56" s="981" t="s">
        <v>255</v>
      </c>
      <c r="C56" s="982"/>
      <c r="D56" s="982"/>
      <c r="E56" s="115">
        <v>34.94</v>
      </c>
      <c r="F56" s="116">
        <v>1</v>
      </c>
      <c r="G56" s="103">
        <f>ROUND((E56*F56),2)</f>
        <v>34.94</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217</v>
      </c>
      <c r="C58" s="982"/>
      <c r="D58" s="982"/>
      <c r="E58" s="115">
        <f>ROUND(((F18/220)*8)*1.5,2)</f>
        <v>106.44</v>
      </c>
      <c r="F58" s="116">
        <v>1</v>
      </c>
      <c r="G58" s="103">
        <f>ROUND((E58*F58)/12,2)</f>
        <v>8.8699999999999992</v>
      </c>
      <c r="H58" s="36"/>
    </row>
    <row r="59" spans="1:8" s="35" customFormat="1" x14ac:dyDescent="0.2">
      <c r="A59" s="37" t="s">
        <v>34</v>
      </c>
      <c r="B59" s="987" t="s">
        <v>180</v>
      </c>
      <c r="C59" s="988"/>
      <c r="D59" s="988"/>
      <c r="E59" s="115">
        <f>9.31</f>
        <v>9.31</v>
      </c>
      <c r="F59" s="117">
        <v>1</v>
      </c>
      <c r="G59" s="118">
        <f>ROUND((E59*F59),2)</f>
        <v>9.31</v>
      </c>
      <c r="H59" s="36"/>
    </row>
    <row r="60" spans="1:8" s="35" customFormat="1" x14ac:dyDescent="0.2">
      <c r="A60" s="37" t="s">
        <v>48</v>
      </c>
      <c r="B60" s="981" t="s">
        <v>152</v>
      </c>
      <c r="C60" s="982"/>
      <c r="D60" s="982"/>
      <c r="E60" s="115">
        <v>0</v>
      </c>
      <c r="F60" s="116">
        <v>1</v>
      </c>
      <c r="G60" s="119">
        <f>ROUND((E60*F60),2)</f>
        <v>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424.82</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616.51</v>
      </c>
      <c r="H65" s="4"/>
    </row>
    <row r="66" spans="1:8" x14ac:dyDescent="0.2">
      <c r="A66" s="121" t="s">
        <v>64</v>
      </c>
      <c r="B66" s="927" t="s">
        <v>128</v>
      </c>
      <c r="C66" s="928"/>
      <c r="D66" s="928"/>
      <c r="E66" s="928"/>
      <c r="F66" s="18">
        <f>F51</f>
        <v>0.33800000000000002</v>
      </c>
      <c r="G66" s="122">
        <f>G51</f>
        <v>762.17</v>
      </c>
      <c r="H66" s="4"/>
    </row>
    <row r="67" spans="1:8" x14ac:dyDescent="0.2">
      <c r="A67" s="121" t="s">
        <v>65</v>
      </c>
      <c r="B67" s="927" t="s">
        <v>66</v>
      </c>
      <c r="C67" s="928"/>
      <c r="D67" s="928"/>
      <c r="E67" s="928"/>
      <c r="F67" s="929"/>
      <c r="G67" s="122">
        <f>G63</f>
        <v>424.82</v>
      </c>
      <c r="H67" s="4"/>
    </row>
    <row r="68" spans="1:8" x14ac:dyDescent="0.2">
      <c r="A68" s="936" t="s">
        <v>67</v>
      </c>
      <c r="B68" s="937"/>
      <c r="C68" s="937"/>
      <c r="D68" s="937"/>
      <c r="E68" s="937"/>
      <c r="F68" s="938"/>
      <c r="G68" s="105">
        <f>SUM(G65:G67)</f>
        <v>1803.5</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ROUND((E108*F108),2)</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 t="shared" ref="G110:G115" si="3">ROUND((E110*F110),2)</f>
        <v>0</v>
      </c>
      <c r="H110" s="36"/>
    </row>
    <row r="111" spans="1:8" s="35" customFormat="1" x14ac:dyDescent="0.2">
      <c r="A111" s="165" t="s">
        <v>31</v>
      </c>
      <c r="B111" s="919" t="s">
        <v>59</v>
      </c>
      <c r="C111" s="920"/>
      <c r="D111" s="920"/>
      <c r="E111" s="45">
        <v>0</v>
      </c>
      <c r="F111" s="48">
        <v>1</v>
      </c>
      <c r="G111" s="103">
        <f t="shared" si="3"/>
        <v>0</v>
      </c>
      <c r="H111" s="36"/>
    </row>
    <row r="112" spans="1:8" s="35" customFormat="1" x14ac:dyDescent="0.2">
      <c r="A112" s="37" t="s">
        <v>32</v>
      </c>
      <c r="B112" s="919" t="s">
        <v>59</v>
      </c>
      <c r="C112" s="920"/>
      <c r="D112" s="920"/>
      <c r="E112" s="45">
        <v>0</v>
      </c>
      <c r="F112" s="48">
        <v>1</v>
      </c>
      <c r="G112" s="103">
        <f t="shared" si="3"/>
        <v>0</v>
      </c>
      <c r="H112" s="36"/>
    </row>
    <row r="113" spans="1:8" s="35" customFormat="1" x14ac:dyDescent="0.2">
      <c r="A113" s="37" t="s">
        <v>34</v>
      </c>
      <c r="B113" s="919" t="s">
        <v>59</v>
      </c>
      <c r="C113" s="920"/>
      <c r="D113" s="920"/>
      <c r="E113" s="45">
        <v>0</v>
      </c>
      <c r="F113" s="48">
        <v>1</v>
      </c>
      <c r="G113" s="103">
        <f t="shared" si="3"/>
        <v>0</v>
      </c>
      <c r="H113" s="36"/>
    </row>
    <row r="114" spans="1:8" s="35" customFormat="1" x14ac:dyDescent="0.2">
      <c r="A114" s="165" t="s">
        <v>48</v>
      </c>
      <c r="B114" s="919" t="s">
        <v>59</v>
      </c>
      <c r="C114" s="920"/>
      <c r="D114" s="920"/>
      <c r="E114" s="45">
        <v>0</v>
      </c>
      <c r="F114" s="48">
        <v>1</v>
      </c>
      <c r="G114" s="103">
        <f t="shared" si="3"/>
        <v>0</v>
      </c>
      <c r="H114" s="36"/>
    </row>
    <row r="115" spans="1:8" s="35" customFormat="1" x14ac:dyDescent="0.2">
      <c r="A115" s="37" t="s">
        <v>50</v>
      </c>
      <c r="B115" s="968" t="s">
        <v>59</v>
      </c>
      <c r="C115" s="969"/>
      <c r="D115" s="969"/>
      <c r="E115" s="45">
        <v>0</v>
      </c>
      <c r="F115" s="48">
        <v>1</v>
      </c>
      <c r="G115" s="103">
        <f t="shared" si="3"/>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213.6</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213.6</v>
      </c>
      <c r="H127" s="4">
        <f ca="1">ROUND(G139*F127,2)</f>
        <v>213.6</v>
      </c>
    </row>
    <row r="128" spans="1:8" x14ac:dyDescent="0.2">
      <c r="A128" s="936" t="s">
        <v>104</v>
      </c>
      <c r="B128" s="937"/>
      <c r="C128" s="937"/>
      <c r="D128" s="937"/>
      <c r="E128" s="937"/>
      <c r="F128" s="23">
        <f>SUM(F119,F120,F127)</f>
        <v>0.05</v>
      </c>
      <c r="G128" s="126">
        <f ca="1">SUM(G119:G126)</f>
        <v>213.6</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2254.9699999999998</v>
      </c>
      <c r="H130" s="4"/>
    </row>
    <row r="131" spans="1:8" x14ac:dyDescent="0.2">
      <c r="A131" s="121" t="s">
        <v>29</v>
      </c>
      <c r="B131" s="927" t="s">
        <v>107</v>
      </c>
      <c r="C131" s="928"/>
      <c r="D131" s="928"/>
      <c r="E131" s="928"/>
      <c r="F131" s="929"/>
      <c r="G131" s="122">
        <f>G68</f>
        <v>1803.5</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4058.47</v>
      </c>
      <c r="H135" s="4"/>
    </row>
    <row r="136" spans="1:8" x14ac:dyDescent="0.2">
      <c r="A136" s="121" t="s">
        <v>34</v>
      </c>
      <c r="B136" s="933" t="s">
        <v>112</v>
      </c>
      <c r="C136" s="934"/>
      <c r="D136" s="934"/>
      <c r="E136" s="934"/>
      <c r="F136" s="935"/>
      <c r="G136" s="122">
        <f ca="1">G128</f>
        <v>213.6</v>
      </c>
      <c r="H136" s="4"/>
    </row>
    <row r="137" spans="1:8" x14ac:dyDescent="0.2">
      <c r="A137" s="936" t="s">
        <v>113</v>
      </c>
      <c r="B137" s="937"/>
      <c r="C137" s="937"/>
      <c r="D137" s="937"/>
      <c r="E137" s="937"/>
      <c r="F137" s="938"/>
      <c r="G137" s="105">
        <f ca="1">SUM(G135:G136)</f>
        <v>4272.07</v>
      </c>
      <c r="H137" s="4">
        <f ca="1">SUM(G130:G136)-G135</f>
        <v>4272.07</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4272.07</v>
      </c>
      <c r="H139" s="4"/>
    </row>
    <row r="140" spans="1:8" x14ac:dyDescent="0.2">
      <c r="A140" s="766"/>
      <c r="B140" s="767" t="s">
        <v>115</v>
      </c>
      <c r="C140" s="767"/>
      <c r="D140" s="767"/>
      <c r="E140" s="767"/>
      <c r="F140" s="768">
        <f>F21</f>
        <v>1</v>
      </c>
      <c r="G140" s="769">
        <f ca="1">G139*F140</f>
        <v>4272.07</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I148"/>
  <sheetViews>
    <sheetView view="pageBreakPreview" topLeftCell="A121" zoomScaleNormal="100" zoomScaleSheetLayoutView="100" workbookViewId="0">
      <selection activeCell="G140" sqref="G140"/>
    </sheetView>
  </sheetViews>
  <sheetFormatPr defaultColWidth="9.140625" defaultRowHeight="12.75" x14ac:dyDescent="0.2"/>
  <cols>
    <col min="1" max="1" width="4.7109375" style="562" customWidth="1"/>
    <col min="2" max="2" width="19.7109375" style="562" customWidth="1"/>
    <col min="3" max="5" width="11.7109375" style="562" customWidth="1"/>
    <col min="6" max="7" width="13.7109375" style="562" customWidth="1"/>
    <col min="8" max="16381" width="9.140625" style="562"/>
    <col min="16382" max="16384" width="17" style="562" customWidth="1"/>
  </cols>
  <sheetData>
    <row r="1" spans="1:8" ht="13.5" thickBot="1" x14ac:dyDescent="0.25">
      <c r="A1" s="1022" t="s">
        <v>14</v>
      </c>
      <c r="B1" s="1022"/>
      <c r="C1" s="1022"/>
      <c r="D1" s="1022"/>
      <c r="E1" s="1022"/>
      <c r="F1" s="1022"/>
      <c r="G1" s="1022"/>
    </row>
    <row r="2" spans="1:8" x14ac:dyDescent="0.2">
      <c r="A2" s="1256" t="s">
        <v>425</v>
      </c>
      <c r="B2" s="1257"/>
      <c r="C2" s="1257"/>
      <c r="D2" s="563"/>
      <c r="E2" s="563"/>
      <c r="F2" s="1258" t="s">
        <v>477</v>
      </c>
      <c r="G2" s="1259"/>
    </row>
    <row r="3" spans="1:8" x14ac:dyDescent="0.2">
      <c r="A3" s="1260" t="s">
        <v>392</v>
      </c>
      <c r="B3" s="1261"/>
      <c r="C3" s="1261"/>
      <c r="D3" s="1261"/>
      <c r="E3" s="1261"/>
      <c r="F3" s="1261"/>
      <c r="G3" s="1262"/>
    </row>
    <row r="4" spans="1:8" ht="13.5" thickBot="1" x14ac:dyDescent="0.25">
      <c r="A4" s="1263"/>
      <c r="B4" s="1264"/>
      <c r="C4" s="1264"/>
      <c r="D4" s="1264"/>
      <c r="E4" s="1264"/>
      <c r="F4" s="1264"/>
      <c r="G4" s="1265"/>
    </row>
    <row r="5" spans="1:8" x14ac:dyDescent="0.2">
      <c r="A5" s="1266" t="s">
        <v>5</v>
      </c>
      <c r="B5" s="1267"/>
      <c r="C5" s="1267"/>
      <c r="D5" s="1267"/>
      <c r="E5" s="1267"/>
      <c r="F5" s="1268"/>
      <c r="G5" s="1269"/>
    </row>
    <row r="6" spans="1:8" x14ac:dyDescent="0.2">
      <c r="A6" s="1270" t="s">
        <v>16</v>
      </c>
      <c r="B6" s="1271"/>
      <c r="C6" s="1271"/>
      <c r="D6" s="1271"/>
      <c r="E6" s="1272"/>
      <c r="F6" s="1273"/>
      <c r="G6" s="1274"/>
    </row>
    <row r="7" spans="1:8" x14ac:dyDescent="0.2">
      <c r="A7" s="1270" t="s">
        <v>11</v>
      </c>
      <c r="B7" s="1271"/>
      <c r="C7" s="1271"/>
      <c r="D7" s="1271"/>
      <c r="E7" s="1272"/>
      <c r="F7" s="1286" t="s">
        <v>496</v>
      </c>
      <c r="G7" s="1274"/>
    </row>
    <row r="8" spans="1:8" x14ac:dyDescent="0.2">
      <c r="A8" s="1287" t="s">
        <v>393</v>
      </c>
      <c r="B8" s="1288"/>
      <c r="C8" s="1288"/>
      <c r="D8" s="1288"/>
      <c r="E8" s="1288"/>
      <c r="F8" s="1288"/>
      <c r="G8" s="1289"/>
    </row>
    <row r="9" spans="1:8" x14ac:dyDescent="0.2">
      <c r="A9" s="1290"/>
      <c r="B9" s="1291"/>
      <c r="C9" s="1291"/>
      <c r="D9" s="1291"/>
      <c r="E9" s="1291"/>
      <c r="F9" s="1291"/>
      <c r="G9" s="1292"/>
    </row>
    <row r="10" spans="1:8" x14ac:dyDescent="0.2">
      <c r="A10" s="1275" t="s">
        <v>17</v>
      </c>
      <c r="B10" s="1276"/>
      <c r="C10" s="1276"/>
      <c r="D10" s="1276"/>
      <c r="E10" s="1277"/>
      <c r="F10" s="1278" t="s">
        <v>403</v>
      </c>
      <c r="G10" s="1279"/>
    </row>
    <row r="11" spans="1:8" x14ac:dyDescent="0.2">
      <c r="A11" s="1275" t="s">
        <v>18</v>
      </c>
      <c r="B11" s="1276"/>
      <c r="C11" s="1276"/>
      <c r="D11" s="1276"/>
      <c r="E11" s="1277"/>
      <c r="F11" s="1278" t="s">
        <v>394</v>
      </c>
      <c r="G11" s="1279"/>
    </row>
    <row r="12" spans="1:8" x14ac:dyDescent="0.2">
      <c r="A12" s="1275" t="s">
        <v>19</v>
      </c>
      <c r="B12" s="1276"/>
      <c r="C12" s="1276"/>
      <c r="D12" s="1276"/>
      <c r="E12" s="1277"/>
      <c r="F12" s="1278" t="s">
        <v>20</v>
      </c>
      <c r="G12" s="1279"/>
    </row>
    <row r="13" spans="1:8" x14ac:dyDescent="0.2">
      <c r="A13" s="1275" t="s">
        <v>10</v>
      </c>
      <c r="B13" s="1276"/>
      <c r="C13" s="1276"/>
      <c r="D13" s="1276"/>
      <c r="E13" s="1277"/>
      <c r="F13" s="1278" t="s">
        <v>9</v>
      </c>
      <c r="G13" s="1279"/>
    </row>
    <row r="14" spans="1:8" x14ac:dyDescent="0.2">
      <c r="A14" s="1280" t="s">
        <v>6</v>
      </c>
      <c r="B14" s="1281"/>
      <c r="C14" s="1281"/>
      <c r="D14" s="1281"/>
      <c r="E14" s="1281"/>
      <c r="F14" s="1282"/>
      <c r="G14" s="1283"/>
    </row>
    <row r="15" spans="1:8" x14ac:dyDescent="0.2">
      <c r="A15" s="1275" t="s">
        <v>7</v>
      </c>
      <c r="B15" s="1276"/>
      <c r="C15" s="1276"/>
      <c r="D15" s="1276"/>
      <c r="E15" s="1277"/>
      <c r="F15" s="1284">
        <v>1518</v>
      </c>
      <c r="G15" s="1285"/>
    </row>
    <row r="16" spans="1:8" x14ac:dyDescent="0.2">
      <c r="A16" s="1275" t="s">
        <v>0</v>
      </c>
      <c r="B16" s="1276"/>
      <c r="C16" s="1276"/>
      <c r="D16" s="1276"/>
      <c r="E16" s="1277"/>
      <c r="F16" s="1299" t="s">
        <v>492</v>
      </c>
      <c r="G16" s="1300"/>
      <c r="H16" s="476"/>
    </row>
    <row r="17" spans="1:8" x14ac:dyDescent="0.2">
      <c r="A17" s="1275" t="s">
        <v>21</v>
      </c>
      <c r="B17" s="1276"/>
      <c r="C17" s="1276"/>
      <c r="D17" s="1276"/>
      <c r="E17" s="1277"/>
      <c r="F17" s="1301" t="s">
        <v>493</v>
      </c>
      <c r="G17" s="1302"/>
      <c r="H17" s="476"/>
    </row>
    <row r="18" spans="1:8" x14ac:dyDescent="0.2">
      <c r="A18" s="1275" t="s">
        <v>1</v>
      </c>
      <c r="B18" s="1276"/>
      <c r="C18" s="1276"/>
      <c r="D18" s="1276"/>
      <c r="E18" s="1277"/>
      <c r="F18" s="1303">
        <v>2083.35</v>
      </c>
      <c r="G18" s="1304"/>
    </row>
    <row r="19" spans="1:8" x14ac:dyDescent="0.2">
      <c r="A19" s="1270" t="s">
        <v>8</v>
      </c>
      <c r="B19" s="1271"/>
      <c r="C19" s="1271"/>
      <c r="D19" s="1271"/>
      <c r="E19" s="1272"/>
      <c r="F19" s="1293">
        <v>45536</v>
      </c>
      <c r="G19" s="1294"/>
    </row>
    <row r="20" spans="1:8" x14ac:dyDescent="0.2">
      <c r="A20" s="1275" t="s">
        <v>22</v>
      </c>
      <c r="B20" s="1276"/>
      <c r="C20" s="1276"/>
      <c r="D20" s="1276"/>
      <c r="E20" s="1277"/>
      <c r="F20" s="1295" t="s">
        <v>140</v>
      </c>
      <c r="G20" s="1296"/>
    </row>
    <row r="21" spans="1:8" x14ac:dyDescent="0.2">
      <c r="A21" s="1270" t="s">
        <v>23</v>
      </c>
      <c r="B21" s="1271"/>
      <c r="C21" s="1271"/>
      <c r="D21" s="1271"/>
      <c r="E21" s="1272"/>
      <c r="F21" s="1297">
        <v>1</v>
      </c>
      <c r="G21" s="1298"/>
    </row>
    <row r="22" spans="1:8" x14ac:dyDescent="0.2">
      <c r="A22" s="1270" t="s">
        <v>24</v>
      </c>
      <c r="B22" s="1271"/>
      <c r="C22" s="1271"/>
      <c r="D22" s="1271"/>
      <c r="E22" s="1272"/>
      <c r="F22" s="1297">
        <v>1</v>
      </c>
      <c r="G22" s="1298"/>
    </row>
    <row r="23" spans="1:8" x14ac:dyDescent="0.2">
      <c r="A23" s="1270" t="s">
        <v>25</v>
      </c>
      <c r="B23" s="1271"/>
      <c r="C23" s="1271"/>
      <c r="D23" s="1271"/>
      <c r="E23" s="1272"/>
      <c r="F23" s="1308" t="s">
        <v>214</v>
      </c>
      <c r="G23" s="1309"/>
    </row>
    <row r="24" spans="1:8" x14ac:dyDescent="0.2">
      <c r="A24" s="1310" t="s">
        <v>495</v>
      </c>
      <c r="B24" s="1273"/>
      <c r="C24" s="1273"/>
      <c r="D24" s="1273"/>
      <c r="E24" s="1273"/>
      <c r="F24" s="1273"/>
      <c r="G24" s="1274"/>
    </row>
    <row r="25" spans="1:8" x14ac:dyDescent="0.2">
      <c r="A25" s="1280" t="s">
        <v>2</v>
      </c>
      <c r="B25" s="1281"/>
      <c r="C25" s="1281"/>
      <c r="D25" s="1281"/>
      <c r="E25" s="1281"/>
      <c r="F25" s="1282"/>
      <c r="G25" s="1283"/>
    </row>
    <row r="26" spans="1:8" x14ac:dyDescent="0.2">
      <c r="A26" s="564">
        <v>1</v>
      </c>
      <c r="B26" s="1305" t="s">
        <v>26</v>
      </c>
      <c r="C26" s="1305"/>
      <c r="D26" s="1305"/>
      <c r="E26" s="1305"/>
      <c r="F26" s="565" t="s">
        <v>27</v>
      </c>
      <c r="G26" s="566" t="s">
        <v>3</v>
      </c>
    </row>
    <row r="27" spans="1:8" x14ac:dyDescent="0.2">
      <c r="A27" s="567" t="s">
        <v>28</v>
      </c>
      <c r="B27" s="1306" t="s">
        <v>397</v>
      </c>
      <c r="C27" s="1306"/>
      <c r="D27" s="1306"/>
      <c r="E27" s="1306"/>
      <c r="F27" s="568">
        <v>1</v>
      </c>
      <c r="G27" s="569">
        <f>F18*F27</f>
        <v>2083.35</v>
      </c>
      <c r="H27" s="570"/>
    </row>
    <row r="28" spans="1:8" x14ac:dyDescent="0.2">
      <c r="A28" s="567" t="s">
        <v>29</v>
      </c>
      <c r="B28" s="1307" t="s">
        <v>117</v>
      </c>
      <c r="C28" s="1307"/>
      <c r="D28" s="1307"/>
      <c r="E28" s="1307"/>
      <c r="F28" s="571">
        <v>0</v>
      </c>
      <c r="G28" s="569">
        <f>ROUND(G27*F28,2)</f>
        <v>0</v>
      </c>
      <c r="H28" s="570"/>
    </row>
    <row r="29" spans="1:8" x14ac:dyDescent="0.2">
      <c r="A29" s="567" t="s">
        <v>30</v>
      </c>
      <c r="B29" s="1307" t="s">
        <v>15</v>
      </c>
      <c r="C29" s="1307"/>
      <c r="D29" s="1307"/>
      <c r="E29" s="1307"/>
      <c r="F29" s="571">
        <v>0.4</v>
      </c>
      <c r="G29" s="569">
        <f>ROUND(F15*F29,2)</f>
        <v>607.20000000000005</v>
      </c>
      <c r="H29" s="570"/>
    </row>
    <row r="30" spans="1:8" x14ac:dyDescent="0.2">
      <c r="A30" s="567" t="s">
        <v>31</v>
      </c>
      <c r="B30" s="1307" t="s">
        <v>154</v>
      </c>
      <c r="C30" s="1307"/>
      <c r="D30" s="1307"/>
      <c r="E30" s="1307"/>
      <c r="F30" s="568">
        <f>ROUND((ROUND((0*15.22),2)/52.5)*60,2)</f>
        <v>0</v>
      </c>
      <c r="G30" s="569">
        <f>ROUND(ROUND(ROUND((SUM(G27:G29)+G33)/220,2)*0.2,2)*F30,2)</f>
        <v>0</v>
      </c>
      <c r="H30" s="570"/>
    </row>
    <row r="31" spans="1:8" x14ac:dyDescent="0.2">
      <c r="A31" s="567" t="s">
        <v>32</v>
      </c>
      <c r="B31" s="1307" t="s">
        <v>33</v>
      </c>
      <c r="C31" s="1307"/>
      <c r="D31" s="1307"/>
      <c r="E31" s="1307"/>
      <c r="F31" s="568">
        <v>0</v>
      </c>
      <c r="G31" s="569"/>
      <c r="H31" s="570"/>
    </row>
    <row r="32" spans="1:8" x14ac:dyDescent="0.2">
      <c r="A32" s="567" t="s">
        <v>34</v>
      </c>
      <c r="B32" s="1307" t="s">
        <v>155</v>
      </c>
      <c r="C32" s="1307"/>
      <c r="D32" s="1307"/>
      <c r="E32" s="1307"/>
      <c r="F32" s="568">
        <f>ROUND(SUM(F30)/15.22*5,2)</f>
        <v>0</v>
      </c>
      <c r="G32" s="569">
        <f>ROUND(ROUND(ROUND((SUM(G27:G29)+G33)/220,2)*0.2,2)*F32,2)</f>
        <v>0</v>
      </c>
      <c r="H32" s="570"/>
    </row>
    <row r="33" spans="1:8" x14ac:dyDescent="0.2">
      <c r="A33" s="567" t="s">
        <v>48</v>
      </c>
      <c r="B33" s="1307" t="s">
        <v>156</v>
      </c>
      <c r="C33" s="1307"/>
      <c r="D33" s="1307"/>
      <c r="E33" s="1307"/>
      <c r="F33" s="571">
        <v>0</v>
      </c>
      <c r="G33" s="569">
        <f>ROUND(F18*F33,2)</f>
        <v>0</v>
      </c>
      <c r="H33" s="570"/>
    </row>
    <row r="34" spans="1:8" x14ac:dyDescent="0.2">
      <c r="A34" s="1327" t="s">
        <v>35</v>
      </c>
      <c r="B34" s="1328"/>
      <c r="C34" s="1328"/>
      <c r="D34" s="1328"/>
      <c r="E34" s="1328"/>
      <c r="F34" s="1329"/>
      <c r="G34" s="572">
        <f>SUM(G27:G33)</f>
        <v>2690.55</v>
      </c>
    </row>
    <row r="35" spans="1:8" x14ac:dyDescent="0.2">
      <c r="A35" s="1280" t="s">
        <v>36</v>
      </c>
      <c r="B35" s="1281"/>
      <c r="C35" s="1281"/>
      <c r="D35" s="1281"/>
      <c r="E35" s="1281"/>
      <c r="F35" s="1282"/>
      <c r="G35" s="1283"/>
    </row>
    <row r="36" spans="1:8" x14ac:dyDescent="0.2">
      <c r="A36" s="1318" t="s">
        <v>37</v>
      </c>
      <c r="B36" s="1319"/>
      <c r="C36" s="1319"/>
      <c r="D36" s="1319"/>
      <c r="E36" s="1319"/>
      <c r="F36" s="1319"/>
      <c r="G36" s="1320"/>
      <c r="H36" s="573"/>
    </row>
    <row r="37" spans="1:8" x14ac:dyDescent="0.2">
      <c r="A37" s="574" t="s">
        <v>28</v>
      </c>
      <c r="B37" s="1321" t="s">
        <v>38</v>
      </c>
      <c r="C37" s="1322"/>
      <c r="D37" s="1322"/>
      <c r="E37" s="1323"/>
      <c r="F37" s="114">
        <v>8.3299999999999999E-2</v>
      </c>
      <c r="G37" s="575">
        <f>ROUND(G$34*F37,2)</f>
        <v>224.12</v>
      </c>
      <c r="H37" s="476"/>
    </row>
    <row r="38" spans="1:8" x14ac:dyDescent="0.2">
      <c r="A38" s="576" t="s">
        <v>29</v>
      </c>
      <c r="B38" s="1311" t="s">
        <v>398</v>
      </c>
      <c r="C38" s="1312"/>
      <c r="D38" s="1312"/>
      <c r="E38" s="1313"/>
      <c r="F38" s="577">
        <f>ROUND((1/11)+(1/11)/3, 3)</f>
        <v>0.121</v>
      </c>
      <c r="G38" s="578">
        <f>ROUND(G$34*F38,2)</f>
        <v>325.56</v>
      </c>
      <c r="H38" s="573"/>
    </row>
    <row r="39" spans="1:8" x14ac:dyDescent="0.2">
      <c r="A39" s="579"/>
      <c r="B39" s="1314" t="s">
        <v>39</v>
      </c>
      <c r="C39" s="1314"/>
      <c r="D39" s="1314"/>
      <c r="E39" s="1314"/>
      <c r="F39" s="580">
        <f>SUM(F37:F38)</f>
        <v>0.20430000000000001</v>
      </c>
      <c r="G39" s="575"/>
      <c r="H39" s="573"/>
    </row>
    <row r="40" spans="1:8" x14ac:dyDescent="0.2">
      <c r="A40" s="581" t="s">
        <v>30</v>
      </c>
      <c r="B40" s="582" t="s">
        <v>40</v>
      </c>
      <c r="C40" s="583"/>
      <c r="D40" s="583"/>
      <c r="E40" s="583"/>
      <c r="F40" s="584">
        <f>ROUND((F51*F39),4)</f>
        <v>6.9099999999999995E-2</v>
      </c>
      <c r="G40" s="585">
        <f>ROUND(G$34*F40,2)</f>
        <v>185.92</v>
      </c>
      <c r="H40" s="573"/>
    </row>
    <row r="41" spans="1:8" x14ac:dyDescent="0.2">
      <c r="A41" s="1315" t="s">
        <v>41</v>
      </c>
      <c r="B41" s="1316"/>
      <c r="C41" s="1316"/>
      <c r="D41" s="1316"/>
      <c r="E41" s="1317"/>
      <c r="F41" s="586">
        <f>ROUND(SUM(F39:F40),4)</f>
        <v>0.27339999999999998</v>
      </c>
      <c r="G41" s="587">
        <f>SUM(G37:G40)</f>
        <v>735.6</v>
      </c>
      <c r="H41" s="573">
        <f>ROUND(G34*F41,2)</f>
        <v>735.6</v>
      </c>
    </row>
    <row r="42" spans="1:8" x14ac:dyDescent="0.2">
      <c r="A42" s="1318" t="s">
        <v>118</v>
      </c>
      <c r="B42" s="1319"/>
      <c r="C42" s="1319"/>
      <c r="D42" s="1319"/>
      <c r="E42" s="1319"/>
      <c r="F42" s="1319"/>
      <c r="G42" s="1320"/>
      <c r="H42" s="573"/>
    </row>
    <row r="43" spans="1:8" x14ac:dyDescent="0.2">
      <c r="A43" s="588" t="s">
        <v>28</v>
      </c>
      <c r="B43" s="1321" t="s">
        <v>42</v>
      </c>
      <c r="C43" s="1322"/>
      <c r="D43" s="1322"/>
      <c r="E43" s="1323"/>
      <c r="F43" s="589">
        <v>0.2</v>
      </c>
      <c r="G43" s="590">
        <f t="shared" ref="G43:G50" si="0">ROUND(G$34*F43,2)</f>
        <v>538.11</v>
      </c>
      <c r="H43" s="573"/>
    </row>
    <row r="44" spans="1:8" x14ac:dyDescent="0.2">
      <c r="A44" s="574" t="s">
        <v>29</v>
      </c>
      <c r="B44" s="1324" t="s">
        <v>43</v>
      </c>
      <c r="C44" s="1325"/>
      <c r="D44" s="1325"/>
      <c r="E44" s="1326"/>
      <c r="F44" s="114">
        <v>2.5000000000000001E-2</v>
      </c>
      <c r="G44" s="575">
        <f t="shared" si="0"/>
        <v>67.260000000000005</v>
      </c>
      <c r="H44" s="573"/>
    </row>
    <row r="45" spans="1:8" x14ac:dyDescent="0.2">
      <c r="A45" s="574" t="s">
        <v>30</v>
      </c>
      <c r="B45" s="1324" t="s">
        <v>44</v>
      </c>
      <c r="C45" s="1325"/>
      <c r="D45" s="1325"/>
      <c r="E45" s="1326"/>
      <c r="F45" s="736">
        <v>0</v>
      </c>
      <c r="G45" s="575">
        <f t="shared" si="0"/>
        <v>0</v>
      </c>
      <c r="H45" s="573"/>
    </row>
    <row r="46" spans="1:8" x14ac:dyDescent="0.2">
      <c r="A46" s="574" t="s">
        <v>31</v>
      </c>
      <c r="B46" s="1324" t="s">
        <v>45</v>
      </c>
      <c r="C46" s="1325"/>
      <c r="D46" s="1325"/>
      <c r="E46" s="1326"/>
      <c r="F46" s="114">
        <v>1.4999999999999999E-2</v>
      </c>
      <c r="G46" s="575">
        <f t="shared" si="0"/>
        <v>40.36</v>
      </c>
      <c r="H46" s="573"/>
    </row>
    <row r="47" spans="1:8" x14ac:dyDescent="0.2">
      <c r="A47" s="574" t="s">
        <v>32</v>
      </c>
      <c r="B47" s="1324" t="s">
        <v>46</v>
      </c>
      <c r="C47" s="1325"/>
      <c r="D47" s="1325"/>
      <c r="E47" s="1326"/>
      <c r="F47" s="114">
        <v>0.01</v>
      </c>
      <c r="G47" s="575">
        <f t="shared" si="0"/>
        <v>26.91</v>
      </c>
      <c r="H47" s="573"/>
    </row>
    <row r="48" spans="1:8" x14ac:dyDescent="0.2">
      <c r="A48" s="574" t="s">
        <v>34</v>
      </c>
      <c r="B48" s="1324" t="s">
        <v>47</v>
      </c>
      <c r="C48" s="1325"/>
      <c r="D48" s="1325"/>
      <c r="E48" s="1326"/>
      <c r="F48" s="114">
        <v>6.0000000000000001E-3</v>
      </c>
      <c r="G48" s="575">
        <f t="shared" si="0"/>
        <v>16.14</v>
      </c>
      <c r="H48" s="573"/>
    </row>
    <row r="49" spans="1:8" x14ac:dyDescent="0.2">
      <c r="A49" s="574" t="s">
        <v>48</v>
      </c>
      <c r="B49" s="1324" t="s">
        <v>49</v>
      </c>
      <c r="C49" s="1325"/>
      <c r="D49" s="1325"/>
      <c r="E49" s="1326"/>
      <c r="F49" s="114">
        <v>2E-3</v>
      </c>
      <c r="G49" s="575">
        <f t="shared" si="0"/>
        <v>5.38</v>
      </c>
      <c r="H49" s="573"/>
    </row>
    <row r="50" spans="1:8" x14ac:dyDescent="0.2">
      <c r="A50" s="576" t="s">
        <v>50</v>
      </c>
      <c r="B50" s="1311" t="s">
        <v>51</v>
      </c>
      <c r="C50" s="1312"/>
      <c r="D50" s="1312"/>
      <c r="E50" s="1313"/>
      <c r="F50" s="577">
        <v>0.08</v>
      </c>
      <c r="G50" s="578">
        <f t="shared" si="0"/>
        <v>215.24</v>
      </c>
      <c r="H50" s="573"/>
    </row>
    <row r="51" spans="1:8" x14ac:dyDescent="0.2">
      <c r="A51" s="1315" t="s">
        <v>52</v>
      </c>
      <c r="B51" s="1316"/>
      <c r="C51" s="1316"/>
      <c r="D51" s="1316"/>
      <c r="E51" s="1317"/>
      <c r="F51" s="586">
        <f>SUM(F43:F50)</f>
        <v>0.33800000000000002</v>
      </c>
      <c r="G51" s="587">
        <f>SUM(G43:G50)</f>
        <v>909.4</v>
      </c>
      <c r="H51" s="573">
        <f>ROUND(G34*F51,2)</f>
        <v>909.41</v>
      </c>
    </row>
    <row r="52" spans="1:8" x14ac:dyDescent="0.2">
      <c r="A52" s="1318" t="s">
        <v>53</v>
      </c>
      <c r="B52" s="1319"/>
      <c r="C52" s="1319"/>
      <c r="D52" s="1319"/>
      <c r="E52" s="1319"/>
      <c r="F52" s="1319"/>
      <c r="G52" s="1320"/>
      <c r="H52" s="573"/>
    </row>
    <row r="53" spans="1:8" x14ac:dyDescent="0.2">
      <c r="A53" s="591" t="s">
        <v>28</v>
      </c>
      <c r="B53" s="1330" t="s">
        <v>54</v>
      </c>
      <c r="C53" s="1331"/>
      <c r="D53" s="1331"/>
      <c r="E53" s="774">
        <v>0</v>
      </c>
      <c r="F53" s="593">
        <v>44</v>
      </c>
      <c r="G53" s="594">
        <f>IF(ROUND((E53*F53)-(G27*0.06),2)&lt;0,0,ROUND((E53*F53)-(G27*0.06),2))</f>
        <v>0</v>
      </c>
      <c r="H53" s="573"/>
    </row>
    <row r="54" spans="1:8" x14ac:dyDescent="0.2">
      <c r="A54" s="595" t="s">
        <v>29</v>
      </c>
      <c r="B54" s="987" t="s">
        <v>56</v>
      </c>
      <c r="C54" s="988"/>
      <c r="D54" s="988"/>
      <c r="E54" s="296">
        <v>28.86</v>
      </c>
      <c r="F54" s="596">
        <v>22</v>
      </c>
      <c r="G54" s="569">
        <f t="shared" ref="G54:G62" si="1">ROUND((E54*F54),2)</f>
        <v>634.91999999999996</v>
      </c>
      <c r="H54" s="573"/>
    </row>
    <row r="55" spans="1:8" x14ac:dyDescent="0.2">
      <c r="A55" s="595" t="s">
        <v>30</v>
      </c>
      <c r="B55" s="987" t="s">
        <v>58</v>
      </c>
      <c r="C55" s="988"/>
      <c r="D55" s="988"/>
      <c r="E55" s="296">
        <v>394.42</v>
      </c>
      <c r="F55" s="596">
        <v>1</v>
      </c>
      <c r="G55" s="569">
        <f t="shared" si="1"/>
        <v>394.42</v>
      </c>
      <c r="H55" s="573"/>
    </row>
    <row r="56" spans="1:8" x14ac:dyDescent="0.2">
      <c r="A56" s="595" t="s">
        <v>31</v>
      </c>
      <c r="B56" s="987" t="s">
        <v>399</v>
      </c>
      <c r="C56" s="988"/>
      <c r="D56" s="988"/>
      <c r="E56" s="296">
        <v>28</v>
      </c>
      <c r="F56" s="596">
        <v>1</v>
      </c>
      <c r="G56" s="569">
        <f t="shared" si="1"/>
        <v>28</v>
      </c>
      <c r="H56" s="573"/>
    </row>
    <row r="57" spans="1:8" x14ac:dyDescent="0.2">
      <c r="A57" s="595" t="s">
        <v>32</v>
      </c>
      <c r="B57" s="987" t="s">
        <v>179</v>
      </c>
      <c r="C57" s="988"/>
      <c r="D57" s="988"/>
      <c r="E57" s="739">
        <f>ROUND((F18*30%)*5%,2)*0</f>
        <v>0</v>
      </c>
      <c r="F57" s="596">
        <v>1</v>
      </c>
      <c r="G57" s="569">
        <f t="shared" si="1"/>
        <v>0</v>
      </c>
      <c r="H57" s="573"/>
    </row>
    <row r="58" spans="1:8" x14ac:dyDescent="0.2">
      <c r="A58" s="595" t="s">
        <v>34</v>
      </c>
      <c r="B58" s="987" t="s">
        <v>404</v>
      </c>
      <c r="C58" s="988"/>
      <c r="D58" s="988"/>
      <c r="E58" s="296">
        <v>3.8</v>
      </c>
      <c r="F58" s="596">
        <v>1</v>
      </c>
      <c r="G58" s="569">
        <f t="shared" si="1"/>
        <v>3.8</v>
      </c>
      <c r="H58" s="573"/>
    </row>
    <row r="59" spans="1:8" x14ac:dyDescent="0.2">
      <c r="A59" s="595" t="s">
        <v>48</v>
      </c>
      <c r="B59" s="987" t="s">
        <v>400</v>
      </c>
      <c r="C59" s="988"/>
      <c r="D59" s="988"/>
      <c r="E59" s="296">
        <f>ROUND((((F18/220)*8)*1.5)/12,2)</f>
        <v>9.4700000000000006</v>
      </c>
      <c r="F59" s="596">
        <v>1</v>
      </c>
      <c r="G59" s="569">
        <f t="shared" si="1"/>
        <v>9.4700000000000006</v>
      </c>
      <c r="H59" s="573"/>
    </row>
    <row r="60" spans="1:8" x14ac:dyDescent="0.2">
      <c r="A60" s="595" t="s">
        <v>50</v>
      </c>
      <c r="B60" s="1340" t="s">
        <v>152</v>
      </c>
      <c r="C60" s="1341"/>
      <c r="D60" s="1341"/>
      <c r="E60" s="296">
        <v>0</v>
      </c>
      <c r="F60" s="596">
        <v>1</v>
      </c>
      <c r="G60" s="569">
        <f t="shared" si="1"/>
        <v>0</v>
      </c>
      <c r="H60" s="573"/>
    </row>
    <row r="61" spans="1:8" x14ac:dyDescent="0.2">
      <c r="A61" s="595" t="s">
        <v>151</v>
      </c>
      <c r="B61" s="1340" t="s">
        <v>152</v>
      </c>
      <c r="C61" s="1341"/>
      <c r="D61" s="1341"/>
      <c r="E61" s="297">
        <v>0</v>
      </c>
      <c r="F61" s="596">
        <v>1</v>
      </c>
      <c r="G61" s="569">
        <f t="shared" si="1"/>
        <v>0</v>
      </c>
      <c r="H61" s="573"/>
    </row>
    <row r="62" spans="1:8" x14ac:dyDescent="0.2">
      <c r="A62" s="595" t="s">
        <v>417</v>
      </c>
      <c r="B62" s="1342" t="s">
        <v>152</v>
      </c>
      <c r="C62" s="1343"/>
      <c r="D62" s="1343"/>
      <c r="E62" s="597">
        <v>0</v>
      </c>
      <c r="F62" s="596">
        <v>1</v>
      </c>
      <c r="G62" s="569">
        <f t="shared" si="1"/>
        <v>0</v>
      </c>
      <c r="H62" s="573"/>
    </row>
    <row r="63" spans="1:8" x14ac:dyDescent="0.2">
      <c r="A63" s="1332" t="s">
        <v>60</v>
      </c>
      <c r="B63" s="1333"/>
      <c r="C63" s="1333"/>
      <c r="D63" s="1333"/>
      <c r="E63" s="1333"/>
      <c r="F63" s="1328"/>
      <c r="G63" s="572">
        <f>SUM(G53:G62)+52.42</f>
        <v>1123.03</v>
      </c>
      <c r="H63" s="573"/>
    </row>
    <row r="64" spans="1:8" x14ac:dyDescent="0.2">
      <c r="A64" s="1280" t="s">
        <v>61</v>
      </c>
      <c r="B64" s="1281"/>
      <c r="C64" s="1281"/>
      <c r="D64" s="1281"/>
      <c r="E64" s="1281"/>
      <c r="F64" s="1282"/>
      <c r="G64" s="1283"/>
      <c r="H64" s="573"/>
    </row>
    <row r="65" spans="1:8" x14ac:dyDescent="0.2">
      <c r="A65" s="598" t="s">
        <v>62</v>
      </c>
      <c r="B65" s="1334" t="s">
        <v>63</v>
      </c>
      <c r="C65" s="1335"/>
      <c r="D65" s="1335"/>
      <c r="E65" s="1335"/>
      <c r="F65" s="599">
        <f>F41</f>
        <v>0.27339999999999998</v>
      </c>
      <c r="G65" s="600">
        <f>G41</f>
        <v>735.6</v>
      </c>
      <c r="H65" s="573"/>
    </row>
    <row r="66" spans="1:8" x14ac:dyDescent="0.2">
      <c r="A66" s="601" t="s">
        <v>64</v>
      </c>
      <c r="B66" s="1336" t="s">
        <v>128</v>
      </c>
      <c r="C66" s="1337"/>
      <c r="D66" s="1337"/>
      <c r="E66" s="1337"/>
      <c r="F66" s="602">
        <f>F51</f>
        <v>0.33800000000000002</v>
      </c>
      <c r="G66" s="603">
        <f>G51</f>
        <v>909.4</v>
      </c>
      <c r="H66" s="573"/>
    </row>
    <row r="67" spans="1:8" x14ac:dyDescent="0.2">
      <c r="A67" s="601" t="s">
        <v>65</v>
      </c>
      <c r="B67" s="1336" t="s">
        <v>66</v>
      </c>
      <c r="C67" s="1337"/>
      <c r="D67" s="1337"/>
      <c r="E67" s="1337"/>
      <c r="F67" s="1338"/>
      <c r="G67" s="603">
        <f>G63</f>
        <v>1123.03</v>
      </c>
      <c r="H67" s="573"/>
    </row>
    <row r="68" spans="1:8" x14ac:dyDescent="0.2">
      <c r="A68" s="1339" t="s">
        <v>67</v>
      </c>
      <c r="B68" s="1333"/>
      <c r="C68" s="1333"/>
      <c r="D68" s="1333"/>
      <c r="E68" s="1333"/>
      <c r="F68" s="1328"/>
      <c r="G68" s="572">
        <f>SUM(G65:G67)</f>
        <v>2768.03</v>
      </c>
      <c r="H68" s="573"/>
    </row>
    <row r="69" spans="1:8" x14ac:dyDescent="0.2">
      <c r="A69" s="1280" t="s">
        <v>68</v>
      </c>
      <c r="B69" s="1281"/>
      <c r="C69" s="1281"/>
      <c r="D69" s="1281"/>
      <c r="E69" s="1281"/>
      <c r="F69" s="1282"/>
      <c r="G69" s="1283"/>
      <c r="H69" s="573"/>
    </row>
    <row r="70" spans="1:8" s="606" customFormat="1" x14ac:dyDescent="0.2">
      <c r="A70" s="564">
        <v>3</v>
      </c>
      <c r="B70" s="604" t="s">
        <v>69</v>
      </c>
      <c r="C70" s="604"/>
      <c r="D70" s="604"/>
      <c r="E70" s="604"/>
      <c r="F70" s="604"/>
      <c r="G70" s="605"/>
      <c r="H70" s="573"/>
    </row>
    <row r="71" spans="1:8" x14ac:dyDescent="0.2">
      <c r="A71" s="607" t="s">
        <v>28</v>
      </c>
      <c r="B71" s="1151" t="s">
        <v>70</v>
      </c>
      <c r="C71" s="1347"/>
      <c r="D71" s="1347"/>
      <c r="E71" s="1347"/>
      <c r="F71" s="741">
        <f>ROUND((1/12)*0.05,4)*0</f>
        <v>0</v>
      </c>
      <c r="G71" s="608">
        <f t="shared" ref="G71:G76" si="2">ROUND(G$34*F71,2)</f>
        <v>0</v>
      </c>
      <c r="H71" s="573"/>
    </row>
    <row r="72" spans="1:8" x14ac:dyDescent="0.2">
      <c r="A72" s="609" t="s">
        <v>29</v>
      </c>
      <c r="B72" s="1348" t="s">
        <v>71</v>
      </c>
      <c r="C72" s="1154"/>
      <c r="D72" s="1154"/>
      <c r="E72" s="1154"/>
      <c r="F72" s="123">
        <f>ROUND((F71*F50),4)</f>
        <v>0</v>
      </c>
      <c r="G72" s="610">
        <f t="shared" si="2"/>
        <v>0</v>
      </c>
      <c r="H72" s="573"/>
    </row>
    <row r="73" spans="1:8" x14ac:dyDescent="0.2">
      <c r="A73" s="609" t="s">
        <v>30</v>
      </c>
      <c r="B73" s="1348" t="s">
        <v>401</v>
      </c>
      <c r="C73" s="1154"/>
      <c r="D73" s="1154"/>
      <c r="E73" s="1154"/>
      <c r="F73" s="742">
        <f>ROUND((0.08*0.4*0.9)*(1+0.09+0.09+0.3),2)*0</f>
        <v>0</v>
      </c>
      <c r="G73" s="610">
        <f t="shared" si="2"/>
        <v>0</v>
      </c>
      <c r="H73" s="573"/>
    </row>
    <row r="74" spans="1:8" x14ac:dyDescent="0.2">
      <c r="A74" s="609" t="s">
        <v>31</v>
      </c>
      <c r="B74" s="1348" t="s">
        <v>72</v>
      </c>
      <c r="C74" s="1154"/>
      <c r="D74" s="1154"/>
      <c r="E74" s="1154"/>
      <c r="F74" s="742">
        <f>ROUND(100%/30*7/12*100%,4)*0</f>
        <v>0</v>
      </c>
      <c r="G74" s="610">
        <f t="shared" si="2"/>
        <v>0</v>
      </c>
      <c r="H74" s="573"/>
    </row>
    <row r="75" spans="1:8" s="476" customFormat="1" x14ac:dyDescent="0.2">
      <c r="A75" s="609" t="s">
        <v>32</v>
      </c>
      <c r="B75" s="1348" t="s">
        <v>119</v>
      </c>
      <c r="C75" s="1154"/>
      <c r="D75" s="1154"/>
      <c r="E75" s="1154"/>
      <c r="F75" s="123">
        <f>ROUND(F74*F51,4)</f>
        <v>0</v>
      </c>
      <c r="G75" s="610">
        <f t="shared" si="2"/>
        <v>0</v>
      </c>
      <c r="H75" s="573"/>
    </row>
    <row r="76" spans="1:8" x14ac:dyDescent="0.2">
      <c r="A76" s="609" t="s">
        <v>34</v>
      </c>
      <c r="B76" s="1146" t="s">
        <v>135</v>
      </c>
      <c r="C76" s="1344"/>
      <c r="D76" s="1344"/>
      <c r="E76" s="1344"/>
      <c r="F76" s="298">
        <v>0</v>
      </c>
      <c r="G76" s="611">
        <f t="shared" si="2"/>
        <v>0</v>
      </c>
      <c r="H76" s="573"/>
    </row>
    <row r="77" spans="1:8" x14ac:dyDescent="0.2">
      <c r="A77" s="1339" t="s">
        <v>73</v>
      </c>
      <c r="B77" s="1333"/>
      <c r="C77" s="1333"/>
      <c r="D77" s="1333"/>
      <c r="E77" s="1333"/>
      <c r="F77" s="612">
        <f>SUM(F71:F76)</f>
        <v>0</v>
      </c>
      <c r="G77" s="613">
        <f>SUM(G71:G76)</f>
        <v>0</v>
      </c>
      <c r="H77" s="573">
        <f>ROUND(G34*F77,2)</f>
        <v>0</v>
      </c>
    </row>
    <row r="78" spans="1:8" x14ac:dyDescent="0.2">
      <c r="A78" s="1280" t="s">
        <v>74</v>
      </c>
      <c r="B78" s="1281"/>
      <c r="C78" s="1281"/>
      <c r="D78" s="1281"/>
      <c r="E78" s="1281"/>
      <c r="F78" s="1282"/>
      <c r="G78" s="1283"/>
      <c r="H78" s="573"/>
    </row>
    <row r="79" spans="1:8" s="606" customFormat="1" x14ac:dyDescent="0.2">
      <c r="A79" s="1318" t="s">
        <v>120</v>
      </c>
      <c r="B79" s="1319"/>
      <c r="C79" s="1319"/>
      <c r="D79" s="1319"/>
      <c r="E79" s="1319"/>
      <c r="F79" s="1319"/>
      <c r="G79" s="1320"/>
      <c r="H79" s="573"/>
    </row>
    <row r="80" spans="1:8" x14ac:dyDescent="0.2">
      <c r="A80" s="588" t="s">
        <v>28</v>
      </c>
      <c r="B80" s="1345" t="s">
        <v>405</v>
      </c>
      <c r="C80" s="1346"/>
      <c r="D80" s="1346"/>
      <c r="E80" s="1346"/>
      <c r="F80" s="589">
        <v>0</v>
      </c>
      <c r="G80" s="608">
        <f t="shared" ref="G80:G85" si="3">ROUND(G$34*F80,2)</f>
        <v>0</v>
      </c>
      <c r="H80" s="573"/>
    </row>
    <row r="81" spans="1:8" x14ac:dyDescent="0.2">
      <c r="A81" s="574" t="s">
        <v>29</v>
      </c>
      <c r="B81" s="1324" t="s">
        <v>121</v>
      </c>
      <c r="C81" s="1325"/>
      <c r="D81" s="1325"/>
      <c r="E81" s="1325"/>
      <c r="F81" s="744">
        <f>ROUND(((1/30)/12)*1,4)*0</f>
        <v>0</v>
      </c>
      <c r="G81" s="610">
        <f t="shared" si="3"/>
        <v>0</v>
      </c>
      <c r="H81" s="573"/>
    </row>
    <row r="82" spans="1:8" x14ac:dyDescent="0.2">
      <c r="A82" s="574" t="s">
        <v>30</v>
      </c>
      <c r="B82" s="1324" t="s">
        <v>122</v>
      </c>
      <c r="C82" s="1325"/>
      <c r="D82" s="1325"/>
      <c r="E82" s="1325"/>
      <c r="F82" s="744">
        <f>ROUND((((1/30)/12)*5)*0.02,4)*0</f>
        <v>0</v>
      </c>
      <c r="G82" s="610">
        <f t="shared" si="3"/>
        <v>0</v>
      </c>
      <c r="H82" s="573"/>
    </row>
    <row r="83" spans="1:8" x14ac:dyDescent="0.2">
      <c r="A83" s="574" t="s">
        <v>31</v>
      </c>
      <c r="B83" s="1324" t="s">
        <v>123</v>
      </c>
      <c r="C83" s="1325"/>
      <c r="D83" s="1325"/>
      <c r="E83" s="1325"/>
      <c r="F83" s="744">
        <f>ROUND((((1/30)/12)*15)*0.05,4)*0</f>
        <v>0</v>
      </c>
      <c r="G83" s="610">
        <f t="shared" si="3"/>
        <v>0</v>
      </c>
      <c r="H83" s="573"/>
    </row>
    <row r="84" spans="1:8" x14ac:dyDescent="0.2">
      <c r="A84" s="574" t="s">
        <v>32</v>
      </c>
      <c r="B84" s="1352" t="s">
        <v>406</v>
      </c>
      <c r="C84" s="1353"/>
      <c r="D84" s="1353"/>
      <c r="E84" s="1353"/>
      <c r="F84" s="114">
        <v>0</v>
      </c>
      <c r="G84" s="610">
        <f t="shared" si="3"/>
        <v>0</v>
      </c>
      <c r="H84" s="573"/>
    </row>
    <row r="85" spans="1:8" x14ac:dyDescent="0.2">
      <c r="A85" s="574" t="s">
        <v>34</v>
      </c>
      <c r="B85" s="1311" t="s">
        <v>124</v>
      </c>
      <c r="C85" s="1312"/>
      <c r="D85" s="1312"/>
      <c r="E85" s="1312"/>
      <c r="F85" s="747">
        <f>ROUND((((1/30)/12)*5)*0.5,4)*0</f>
        <v>0</v>
      </c>
      <c r="G85" s="611">
        <f t="shared" si="3"/>
        <v>0</v>
      </c>
      <c r="H85" s="573"/>
    </row>
    <row r="86" spans="1:8" x14ac:dyDescent="0.2">
      <c r="A86" s="1354" t="s">
        <v>75</v>
      </c>
      <c r="B86" s="1317"/>
      <c r="C86" s="1317"/>
      <c r="D86" s="1317"/>
      <c r="E86" s="1317"/>
      <c r="F86" s="586">
        <f>SUM(F80:F85)</f>
        <v>0</v>
      </c>
      <c r="G86" s="587">
        <f>SUM(G80:G85)</f>
        <v>0</v>
      </c>
      <c r="H86" s="573">
        <f>ROUND(G34*F86,2)</f>
        <v>0</v>
      </c>
    </row>
    <row r="87" spans="1:8" s="606" customFormat="1" x14ac:dyDescent="0.2">
      <c r="A87" s="1349" t="s">
        <v>76</v>
      </c>
      <c r="B87" s="1350"/>
      <c r="C87" s="1350"/>
      <c r="D87" s="1350"/>
      <c r="E87" s="1350"/>
      <c r="F87" s="1350"/>
      <c r="G87" s="1351"/>
      <c r="H87" s="573"/>
    </row>
    <row r="88" spans="1:8" x14ac:dyDescent="0.2">
      <c r="A88" s="607" t="s">
        <v>28</v>
      </c>
      <c r="B88" s="1151" t="s">
        <v>77</v>
      </c>
      <c r="C88" s="1347"/>
      <c r="D88" s="1347"/>
      <c r="E88" s="1347"/>
      <c r="F88" s="741">
        <f xml:space="preserve"> ROUND((((ROUND((1/11)+(1/11)/3, 3))*4)/12)*1%,4)*0</f>
        <v>0</v>
      </c>
      <c r="G88" s="608">
        <f>ROUND(G$34*F88,2)</f>
        <v>0</v>
      </c>
      <c r="H88" s="573"/>
    </row>
    <row r="89" spans="1:8" x14ac:dyDescent="0.2">
      <c r="A89" s="609" t="s">
        <v>29</v>
      </c>
      <c r="B89" s="1348" t="s">
        <v>78</v>
      </c>
      <c r="C89" s="1154"/>
      <c r="D89" s="1154"/>
      <c r="E89" s="1154"/>
      <c r="F89" s="123">
        <f>ROUND(F88*F51,4)</f>
        <v>0</v>
      </c>
      <c r="G89" s="610">
        <f>ROUND(G$34*F89,2)</f>
        <v>0</v>
      </c>
      <c r="H89" s="573"/>
    </row>
    <row r="90" spans="1:8" x14ac:dyDescent="0.2">
      <c r="A90" s="609" t="s">
        <v>30</v>
      </c>
      <c r="B90" s="1348" t="s">
        <v>79</v>
      </c>
      <c r="C90" s="1154"/>
      <c r="D90" s="1154"/>
      <c r="E90" s="1154"/>
      <c r="F90" s="742">
        <f>ROUND(ROUND(ROUND(((1+1/12)*4)/12,4)*1%,4)*F51,4)*0</f>
        <v>0</v>
      </c>
      <c r="G90" s="610">
        <f>ROUND(G$34*F90,2)</f>
        <v>0</v>
      </c>
      <c r="H90" s="573"/>
    </row>
    <row r="91" spans="1:8" x14ac:dyDescent="0.2">
      <c r="A91" s="609" t="s">
        <v>31</v>
      </c>
      <c r="B91" s="1348" t="s">
        <v>59</v>
      </c>
      <c r="C91" s="1154"/>
      <c r="D91" s="1154"/>
      <c r="E91" s="1154"/>
      <c r="F91" s="123">
        <v>0</v>
      </c>
      <c r="G91" s="611">
        <f>ROUND(G$34*F91,2)</f>
        <v>0</v>
      </c>
      <c r="H91" s="573"/>
    </row>
    <row r="92" spans="1:8" x14ac:dyDescent="0.2">
      <c r="A92" s="1327" t="s">
        <v>80</v>
      </c>
      <c r="B92" s="1328"/>
      <c r="C92" s="1328"/>
      <c r="D92" s="1328"/>
      <c r="E92" s="1328"/>
      <c r="F92" s="614">
        <f>SUM(F88:F91)</f>
        <v>0</v>
      </c>
      <c r="G92" s="615">
        <f>SUM(G88:G91)</f>
        <v>0</v>
      </c>
      <c r="H92" s="573">
        <f>ROUND(G34*F92,2)</f>
        <v>0</v>
      </c>
    </row>
    <row r="93" spans="1:8" s="606" customFormat="1" x14ac:dyDescent="0.2">
      <c r="A93" s="1349" t="s">
        <v>81</v>
      </c>
      <c r="B93" s="1350"/>
      <c r="C93" s="1350"/>
      <c r="D93" s="1350"/>
      <c r="E93" s="1350"/>
      <c r="F93" s="1350"/>
      <c r="G93" s="1351"/>
      <c r="H93" s="573"/>
    </row>
    <row r="94" spans="1:8" x14ac:dyDescent="0.2">
      <c r="A94" s="757" t="s">
        <v>28</v>
      </c>
      <c r="B94" s="1357" t="s">
        <v>82</v>
      </c>
      <c r="C94" s="1358"/>
      <c r="D94" s="1358"/>
      <c r="E94" s="1358"/>
      <c r="F94" s="758">
        <f>((1/220)*22)*0</f>
        <v>0</v>
      </c>
      <c r="G94" s="759">
        <f>ROUND(G$34*F94,2)</f>
        <v>0</v>
      </c>
      <c r="H94" s="573"/>
    </row>
    <row r="95" spans="1:8" x14ac:dyDescent="0.2">
      <c r="A95" s="757" t="s">
        <v>29</v>
      </c>
      <c r="B95" s="1359" t="s">
        <v>191</v>
      </c>
      <c r="C95" s="1360"/>
      <c r="D95" s="1360"/>
      <c r="E95" s="1361"/>
      <c r="F95" s="760">
        <f>F94*F51</f>
        <v>0</v>
      </c>
      <c r="G95" s="759">
        <f>ROUND(G$34*F95,2)</f>
        <v>0</v>
      </c>
      <c r="H95" s="573"/>
    </row>
    <row r="96" spans="1:8" x14ac:dyDescent="0.2">
      <c r="A96" s="1327" t="s">
        <v>83</v>
      </c>
      <c r="B96" s="1328"/>
      <c r="C96" s="1328"/>
      <c r="D96" s="1328"/>
      <c r="E96" s="1328"/>
      <c r="F96" s="614">
        <f>SUM(F94:F95)</f>
        <v>0</v>
      </c>
      <c r="G96" s="615">
        <f>SUM(G94:G94)</f>
        <v>0</v>
      </c>
      <c r="H96" s="573">
        <f>ROUND(G34*F96,2)</f>
        <v>0</v>
      </c>
    </row>
    <row r="97" spans="1:9" s="617" customFormat="1" x14ac:dyDescent="0.2">
      <c r="A97" s="1318" t="s">
        <v>125</v>
      </c>
      <c r="B97" s="1319"/>
      <c r="C97" s="1319"/>
      <c r="D97" s="1319"/>
      <c r="E97" s="1319"/>
      <c r="F97" s="1319"/>
      <c r="G97" s="1320"/>
      <c r="H97" s="616"/>
    </row>
    <row r="98" spans="1:9" s="618" customFormat="1" x14ac:dyDescent="0.2">
      <c r="A98" s="588" t="s">
        <v>28</v>
      </c>
      <c r="B98" s="1321" t="s">
        <v>126</v>
      </c>
      <c r="C98" s="1322"/>
      <c r="D98" s="1322"/>
      <c r="E98" s="1322"/>
      <c r="F98" s="761">
        <f>((((8*13)/12)/220)+((((8*13)/12)/220)*100%))*0</f>
        <v>0</v>
      </c>
      <c r="G98" s="608">
        <f>ROUND(G$34*F98,2)</f>
        <v>0</v>
      </c>
      <c r="H98" s="616"/>
    </row>
    <row r="99" spans="1:9" s="618" customFormat="1" x14ac:dyDescent="0.2">
      <c r="A99" s="588" t="s">
        <v>29</v>
      </c>
      <c r="B99" s="1362" t="s">
        <v>191</v>
      </c>
      <c r="C99" s="1363"/>
      <c r="D99" s="1363"/>
      <c r="E99" s="1364"/>
      <c r="F99" s="619">
        <f>F98*F51</f>
        <v>0</v>
      </c>
      <c r="G99" s="608">
        <f>ROUND(G$34*F99,2)</f>
        <v>0</v>
      </c>
      <c r="H99" s="616"/>
    </row>
    <row r="100" spans="1:9" s="618" customFormat="1" x14ac:dyDescent="0.2">
      <c r="A100" s="1354" t="s">
        <v>127</v>
      </c>
      <c r="B100" s="1317"/>
      <c r="C100" s="1317"/>
      <c r="D100" s="1317"/>
      <c r="E100" s="1317"/>
      <c r="F100" s="586">
        <f>SUM(F98:F99)</f>
        <v>0</v>
      </c>
      <c r="G100" s="587">
        <f>SUM(G98:G98)</f>
        <v>0</v>
      </c>
      <c r="H100" s="616">
        <f>ROUND(G44*F100,2)</f>
        <v>0</v>
      </c>
    </row>
    <row r="101" spans="1:9" x14ac:dyDescent="0.2">
      <c r="A101" s="1280" t="s">
        <v>84</v>
      </c>
      <c r="B101" s="1281"/>
      <c r="C101" s="1281"/>
      <c r="D101" s="1281"/>
      <c r="E101" s="1281"/>
      <c r="F101" s="1282"/>
      <c r="G101" s="1283"/>
      <c r="H101" s="573"/>
    </row>
    <row r="102" spans="1:9" x14ac:dyDescent="0.2">
      <c r="A102" s="598" t="s">
        <v>85</v>
      </c>
      <c r="B102" s="1334" t="s">
        <v>129</v>
      </c>
      <c r="C102" s="1335"/>
      <c r="D102" s="1335"/>
      <c r="E102" s="1335"/>
      <c r="F102" s="599">
        <f>F86</f>
        <v>0</v>
      </c>
      <c r="G102" s="600">
        <f>G86</f>
        <v>0</v>
      </c>
      <c r="H102" s="573"/>
    </row>
    <row r="103" spans="1:9" x14ac:dyDescent="0.2">
      <c r="A103" s="601" t="s">
        <v>86</v>
      </c>
      <c r="B103" s="1336" t="s">
        <v>87</v>
      </c>
      <c r="C103" s="1337"/>
      <c r="D103" s="1337"/>
      <c r="E103" s="1337"/>
      <c r="F103" s="602">
        <f>F92</f>
        <v>0</v>
      </c>
      <c r="G103" s="603">
        <f>G92</f>
        <v>0</v>
      </c>
      <c r="H103" s="573"/>
    </row>
    <row r="104" spans="1:9" x14ac:dyDescent="0.2">
      <c r="A104" s="601" t="s">
        <v>88</v>
      </c>
      <c r="B104" s="1336" t="s">
        <v>89</v>
      </c>
      <c r="C104" s="1337"/>
      <c r="D104" s="1337"/>
      <c r="E104" s="1337"/>
      <c r="F104" s="602">
        <f>F96</f>
        <v>0</v>
      </c>
      <c r="G104" s="603">
        <f>G96</f>
        <v>0</v>
      </c>
      <c r="H104" s="573"/>
    </row>
    <row r="105" spans="1:9" x14ac:dyDescent="0.2">
      <c r="A105" s="601" t="s">
        <v>131</v>
      </c>
      <c r="B105" s="1355" t="s">
        <v>402</v>
      </c>
      <c r="C105" s="1356"/>
      <c r="D105" s="1356"/>
      <c r="E105" s="1356"/>
      <c r="F105" s="602">
        <f>F100</f>
        <v>0</v>
      </c>
      <c r="G105" s="603">
        <f>G100</f>
        <v>0</v>
      </c>
      <c r="H105" s="573"/>
    </row>
    <row r="106" spans="1:9" x14ac:dyDescent="0.2">
      <c r="A106" s="1339" t="s">
        <v>90</v>
      </c>
      <c r="B106" s="1333"/>
      <c r="C106" s="1333"/>
      <c r="D106" s="1333"/>
      <c r="E106" s="1333"/>
      <c r="F106" s="1328"/>
      <c r="G106" s="572">
        <f>SUM(G102:G105)</f>
        <v>0</v>
      </c>
      <c r="H106" s="573"/>
      <c r="I106" s="620">
        <f>SUM(F100,F96,F92,F86,F77,F65,F66)</f>
        <v>0.61140000000000005</v>
      </c>
    </row>
    <row r="107" spans="1:9" x14ac:dyDescent="0.2">
      <c r="A107" s="1280" t="s">
        <v>91</v>
      </c>
      <c r="B107" s="1281"/>
      <c r="C107" s="1281"/>
      <c r="D107" s="1281"/>
      <c r="E107" s="1281"/>
      <c r="F107" s="1282"/>
      <c r="G107" s="1283"/>
      <c r="H107" s="573"/>
    </row>
    <row r="108" spans="1:9" x14ac:dyDescent="0.2">
      <c r="A108" s="607" t="s">
        <v>28</v>
      </c>
      <c r="B108" s="1151" t="s">
        <v>381</v>
      </c>
      <c r="C108" s="1347"/>
      <c r="D108" s="1347"/>
      <c r="E108" s="592">
        <v>154</v>
      </c>
      <c r="F108" s="621">
        <v>1</v>
      </c>
      <c r="G108" s="569">
        <f>ROUND((E108*F108),2)</f>
        <v>154</v>
      </c>
      <c r="H108" s="573"/>
    </row>
    <row r="109" spans="1:9" s="618" customFormat="1" x14ac:dyDescent="0.2">
      <c r="A109" s="574" t="s">
        <v>29</v>
      </c>
      <c r="B109" s="1348" t="s">
        <v>230</v>
      </c>
      <c r="C109" s="1154"/>
      <c r="D109" s="1154"/>
      <c r="E109" s="297">
        <v>48</v>
      </c>
      <c r="F109" s="622">
        <v>1</v>
      </c>
      <c r="G109" s="569">
        <f t="shared" ref="G109:G115" si="4">ROUND((E109*F109),2)</f>
        <v>48</v>
      </c>
      <c r="H109" s="616"/>
    </row>
    <row r="110" spans="1:9" s="618" customFormat="1" x14ac:dyDescent="0.2">
      <c r="A110" s="574" t="s">
        <v>30</v>
      </c>
      <c r="B110" s="1348" t="s">
        <v>59</v>
      </c>
      <c r="C110" s="1154"/>
      <c r="D110" s="1154"/>
      <c r="E110" s="297">
        <v>0</v>
      </c>
      <c r="F110" s="623">
        <v>1</v>
      </c>
      <c r="G110" s="569">
        <f t="shared" si="4"/>
        <v>0</v>
      </c>
      <c r="H110" s="616"/>
    </row>
    <row r="111" spans="1:9" s="618" customFormat="1" x14ac:dyDescent="0.2">
      <c r="A111" s="574" t="s">
        <v>31</v>
      </c>
      <c r="B111" s="1348" t="s">
        <v>59</v>
      </c>
      <c r="C111" s="1154"/>
      <c r="D111" s="1154"/>
      <c r="E111" s="297">
        <v>0</v>
      </c>
      <c r="F111" s="623">
        <v>1</v>
      </c>
      <c r="G111" s="569">
        <f t="shared" si="4"/>
        <v>0</v>
      </c>
      <c r="H111" s="616"/>
    </row>
    <row r="112" spans="1:9" s="618" customFormat="1" x14ac:dyDescent="0.2">
      <c r="A112" s="574" t="s">
        <v>32</v>
      </c>
      <c r="B112" s="1348" t="s">
        <v>59</v>
      </c>
      <c r="C112" s="1154"/>
      <c r="D112" s="1154"/>
      <c r="E112" s="297">
        <v>0</v>
      </c>
      <c r="F112" s="623">
        <v>1</v>
      </c>
      <c r="G112" s="569">
        <f t="shared" si="4"/>
        <v>0</v>
      </c>
      <c r="H112" s="616"/>
    </row>
    <row r="113" spans="1:8" s="618" customFormat="1" x14ac:dyDescent="0.2">
      <c r="A113" s="574" t="s">
        <v>34</v>
      </c>
      <c r="B113" s="1348" t="s">
        <v>59</v>
      </c>
      <c r="C113" s="1154"/>
      <c r="D113" s="1154"/>
      <c r="E113" s="297">
        <v>0</v>
      </c>
      <c r="F113" s="623">
        <v>1</v>
      </c>
      <c r="G113" s="569">
        <f t="shared" si="4"/>
        <v>0</v>
      </c>
      <c r="H113" s="616"/>
    </row>
    <row r="114" spans="1:8" s="618" customFormat="1" x14ac:dyDescent="0.2">
      <c r="A114" s="574" t="s">
        <v>48</v>
      </c>
      <c r="B114" s="1348" t="s">
        <v>59</v>
      </c>
      <c r="C114" s="1154"/>
      <c r="D114" s="1154"/>
      <c r="E114" s="297">
        <v>0</v>
      </c>
      <c r="F114" s="623">
        <v>1</v>
      </c>
      <c r="G114" s="569">
        <f t="shared" si="4"/>
        <v>0</v>
      </c>
      <c r="H114" s="616"/>
    </row>
    <row r="115" spans="1:8" s="618" customFormat="1" x14ac:dyDescent="0.2">
      <c r="A115" s="574" t="s">
        <v>48</v>
      </c>
      <c r="B115" s="1146" t="s">
        <v>59</v>
      </c>
      <c r="C115" s="1344"/>
      <c r="D115" s="1344"/>
      <c r="E115" s="297">
        <v>0</v>
      </c>
      <c r="F115" s="623">
        <v>1</v>
      </c>
      <c r="G115" s="569">
        <f t="shared" si="4"/>
        <v>0</v>
      </c>
      <c r="H115" s="616"/>
    </row>
    <row r="116" spans="1:8" s="618" customFormat="1" x14ac:dyDescent="0.2">
      <c r="A116" s="1315" t="s">
        <v>92</v>
      </c>
      <c r="B116" s="1316"/>
      <c r="C116" s="1316"/>
      <c r="D116" s="1316"/>
      <c r="E116" s="1316"/>
      <c r="F116" s="1317"/>
      <c r="G116" s="572">
        <f>SUM(G108:G115)</f>
        <v>202</v>
      </c>
      <c r="H116" s="616"/>
    </row>
    <row r="117" spans="1:8" x14ac:dyDescent="0.2">
      <c r="A117" s="1280" t="s">
        <v>93</v>
      </c>
      <c r="B117" s="1281"/>
      <c r="C117" s="1281"/>
      <c r="D117" s="1281"/>
      <c r="E117" s="1281"/>
      <c r="F117" s="1282"/>
      <c r="G117" s="1283"/>
      <c r="H117" s="573"/>
    </row>
    <row r="118" spans="1:8" s="606" customFormat="1" x14ac:dyDescent="0.2">
      <c r="A118" s="564">
        <v>3</v>
      </c>
      <c r="B118" s="604" t="s">
        <v>94</v>
      </c>
      <c r="C118" s="604"/>
      <c r="D118" s="604"/>
      <c r="E118" s="604"/>
      <c r="F118" s="604"/>
      <c r="G118" s="605"/>
      <c r="H118" s="573"/>
    </row>
    <row r="119" spans="1:8" x14ac:dyDescent="0.2">
      <c r="A119" s="607" t="s">
        <v>28</v>
      </c>
      <c r="B119" s="1151" t="s">
        <v>95</v>
      </c>
      <c r="C119" s="1347"/>
      <c r="D119" s="1347"/>
      <c r="E119" s="1347"/>
      <c r="F119" s="764">
        <v>0</v>
      </c>
      <c r="G119" s="590">
        <f>ROUND(G135*F119,2)</f>
        <v>0</v>
      </c>
      <c r="H119" s="573"/>
    </row>
    <row r="120" spans="1:8" x14ac:dyDescent="0.2">
      <c r="A120" s="609" t="s">
        <v>29</v>
      </c>
      <c r="B120" s="1348" t="s">
        <v>96</v>
      </c>
      <c r="C120" s="1154"/>
      <c r="D120" s="1154"/>
      <c r="E120" s="1154"/>
      <c r="F120" s="763">
        <v>0</v>
      </c>
      <c r="G120" s="575">
        <f>ROUND(((G135+G119)*F120),2)</f>
        <v>0</v>
      </c>
      <c r="H120" s="573"/>
    </row>
    <row r="121" spans="1:8" x14ac:dyDescent="0.2">
      <c r="A121" s="609" t="s">
        <v>30</v>
      </c>
      <c r="B121" s="1369" t="s">
        <v>97</v>
      </c>
      <c r="C121" s="1370"/>
      <c r="D121" s="1370"/>
      <c r="E121" s="1370"/>
      <c r="F121" s="123"/>
      <c r="G121" s="575"/>
      <c r="H121" s="573"/>
    </row>
    <row r="122" spans="1:8" x14ac:dyDescent="0.2">
      <c r="A122" s="609" t="s">
        <v>98</v>
      </c>
      <c r="B122" s="1348" t="s">
        <v>99</v>
      </c>
      <c r="C122" s="1154"/>
      <c r="D122" s="1154"/>
      <c r="E122" s="1154"/>
      <c r="F122" s="763">
        <v>0</v>
      </c>
      <c r="G122" s="575">
        <f ca="1">ROUND(G$139*F122,2)</f>
        <v>0</v>
      </c>
      <c r="H122" s="573"/>
    </row>
    <row r="123" spans="1:8" s="476" customFormat="1" x14ac:dyDescent="0.2">
      <c r="A123" s="609" t="s">
        <v>100</v>
      </c>
      <c r="B123" s="1348" t="s">
        <v>101</v>
      </c>
      <c r="C123" s="1154"/>
      <c r="D123" s="1154"/>
      <c r="E123" s="1154"/>
      <c r="F123" s="763">
        <v>0</v>
      </c>
      <c r="G123" s="575">
        <f ca="1">ROUND(G$139*F123,2)</f>
        <v>0</v>
      </c>
      <c r="H123" s="573"/>
    </row>
    <row r="124" spans="1:8" x14ac:dyDescent="0.2">
      <c r="A124" s="609" t="s">
        <v>102</v>
      </c>
      <c r="B124" s="1348" t="s">
        <v>12</v>
      </c>
      <c r="C124" s="1154"/>
      <c r="D124" s="1154"/>
      <c r="E124" s="1154"/>
      <c r="F124" s="123">
        <v>0.05</v>
      </c>
      <c r="G124" s="575">
        <f ca="1">ROUND(G$139*F124,2)</f>
        <v>297.93</v>
      </c>
      <c r="H124" s="573"/>
    </row>
    <row r="125" spans="1:8" x14ac:dyDescent="0.2">
      <c r="A125" s="609" t="s">
        <v>158</v>
      </c>
      <c r="B125" s="1348" t="s">
        <v>59</v>
      </c>
      <c r="C125" s="1154"/>
      <c r="D125" s="1154"/>
      <c r="E125" s="1365"/>
      <c r="F125" s="123">
        <v>0</v>
      </c>
      <c r="G125" s="575">
        <f ca="1">ROUND(G$139*F125,2)</f>
        <v>0</v>
      </c>
      <c r="H125" s="573"/>
    </row>
    <row r="126" spans="1:8" x14ac:dyDescent="0.2">
      <c r="A126" s="609" t="s">
        <v>462</v>
      </c>
      <c r="B126" s="1348" t="s">
        <v>59</v>
      </c>
      <c r="C126" s="1154"/>
      <c r="D126" s="1154"/>
      <c r="E126" s="1365"/>
      <c r="F126" s="123">
        <v>0</v>
      </c>
      <c r="G126" s="575">
        <f ca="1">ROUND(G$139*F126,2)</f>
        <v>0</v>
      </c>
      <c r="H126" s="573"/>
    </row>
    <row r="127" spans="1:8" x14ac:dyDescent="0.2">
      <c r="A127" s="609"/>
      <c r="B127" s="1366" t="s">
        <v>103</v>
      </c>
      <c r="C127" s="1367"/>
      <c r="D127" s="1367"/>
      <c r="E127" s="1367"/>
      <c r="F127" s="624">
        <f>SUM(F122:F126)</f>
        <v>0.05</v>
      </c>
      <c r="G127" s="625">
        <f ca="1">SUM(G122:G126)</f>
        <v>297.93</v>
      </c>
      <c r="H127" s="573">
        <f ca="1">ROUND(G139*F127,2)</f>
        <v>297.93</v>
      </c>
    </row>
    <row r="128" spans="1:8" x14ac:dyDescent="0.2">
      <c r="A128" s="1339" t="s">
        <v>104</v>
      </c>
      <c r="B128" s="1333"/>
      <c r="C128" s="1333"/>
      <c r="D128" s="1333"/>
      <c r="E128" s="1333"/>
      <c r="F128" s="612">
        <f>SUM(F119,F120,F127)</f>
        <v>0.05</v>
      </c>
      <c r="G128" s="613">
        <f ca="1">SUM(G119:G126)</f>
        <v>297.93</v>
      </c>
      <c r="H128" s="573"/>
    </row>
    <row r="129" spans="1:8" x14ac:dyDescent="0.2">
      <c r="A129" s="1280" t="s">
        <v>105</v>
      </c>
      <c r="B129" s="1281"/>
      <c r="C129" s="1281"/>
      <c r="D129" s="1281"/>
      <c r="E129" s="1281"/>
      <c r="F129" s="1282"/>
      <c r="G129" s="1283"/>
      <c r="H129" s="573"/>
    </row>
    <row r="130" spans="1:8" x14ac:dyDescent="0.2">
      <c r="A130" s="598" t="s">
        <v>28</v>
      </c>
      <c r="B130" s="1334" t="s">
        <v>106</v>
      </c>
      <c r="C130" s="1335"/>
      <c r="D130" s="1335"/>
      <c r="E130" s="1335"/>
      <c r="F130" s="1368"/>
      <c r="G130" s="600">
        <f>G34</f>
        <v>2690.55</v>
      </c>
      <c r="H130" s="573"/>
    </row>
    <row r="131" spans="1:8" x14ac:dyDescent="0.2">
      <c r="A131" s="601" t="s">
        <v>29</v>
      </c>
      <c r="B131" s="1336" t="s">
        <v>107</v>
      </c>
      <c r="C131" s="1337"/>
      <c r="D131" s="1337"/>
      <c r="E131" s="1337"/>
      <c r="F131" s="1338"/>
      <c r="G131" s="603">
        <f>G68</f>
        <v>2768.03</v>
      </c>
      <c r="H131" s="573"/>
    </row>
    <row r="132" spans="1:8" x14ac:dyDescent="0.2">
      <c r="A132" s="601" t="s">
        <v>30</v>
      </c>
      <c r="B132" s="1336" t="s">
        <v>108</v>
      </c>
      <c r="C132" s="1337"/>
      <c r="D132" s="1337"/>
      <c r="E132" s="1337"/>
      <c r="F132" s="1338"/>
      <c r="G132" s="603">
        <f>G77</f>
        <v>0</v>
      </c>
      <c r="H132" s="573"/>
    </row>
    <row r="133" spans="1:8" x14ac:dyDescent="0.2">
      <c r="A133" s="601" t="s">
        <v>31</v>
      </c>
      <c r="B133" s="1336" t="s">
        <v>109</v>
      </c>
      <c r="C133" s="1337"/>
      <c r="D133" s="1337"/>
      <c r="E133" s="1337"/>
      <c r="F133" s="1338"/>
      <c r="G133" s="603">
        <f>G106</f>
        <v>0</v>
      </c>
      <c r="H133" s="573"/>
    </row>
    <row r="134" spans="1:8" x14ac:dyDescent="0.2">
      <c r="A134" s="601" t="s">
        <v>32</v>
      </c>
      <c r="B134" s="1336" t="s">
        <v>110</v>
      </c>
      <c r="C134" s="1337"/>
      <c r="D134" s="1337"/>
      <c r="E134" s="1337"/>
      <c r="F134" s="1338"/>
      <c r="G134" s="603">
        <f>G116</f>
        <v>202</v>
      </c>
      <c r="H134" s="573"/>
    </row>
    <row r="135" spans="1:8" x14ac:dyDescent="0.2">
      <c r="A135" s="601"/>
      <c r="B135" s="1374" t="s">
        <v>111</v>
      </c>
      <c r="C135" s="1375"/>
      <c r="D135" s="1375"/>
      <c r="E135" s="1375"/>
      <c r="F135" s="1376"/>
      <c r="G135" s="603">
        <f>SUM(G130:G134)</f>
        <v>5660.58</v>
      </c>
      <c r="H135" s="573"/>
    </row>
    <row r="136" spans="1:8" x14ac:dyDescent="0.2">
      <c r="A136" s="601" t="s">
        <v>34</v>
      </c>
      <c r="B136" s="1355" t="s">
        <v>112</v>
      </c>
      <c r="C136" s="1356"/>
      <c r="D136" s="1356"/>
      <c r="E136" s="1356"/>
      <c r="F136" s="1377"/>
      <c r="G136" s="603">
        <f ca="1">G128</f>
        <v>297.93</v>
      </c>
      <c r="H136" s="573"/>
    </row>
    <row r="137" spans="1:8" x14ac:dyDescent="0.2">
      <c r="A137" s="1339" t="s">
        <v>113</v>
      </c>
      <c r="B137" s="1333"/>
      <c r="C137" s="1333"/>
      <c r="D137" s="1333"/>
      <c r="E137" s="1333"/>
      <c r="F137" s="1328"/>
      <c r="G137" s="572">
        <f ca="1">SUM(G135:G136)</f>
        <v>5958.51</v>
      </c>
      <c r="H137" s="573">
        <f ca="1">SUM(G130:G136)-G135</f>
        <v>5958.51</v>
      </c>
    </row>
    <row r="138" spans="1:8" x14ac:dyDescent="0.2">
      <c r="A138" s="1371" t="s">
        <v>13</v>
      </c>
      <c r="B138" s="1372"/>
      <c r="C138" s="1372"/>
      <c r="D138" s="1372"/>
      <c r="E138" s="1372"/>
      <c r="F138" s="1372"/>
      <c r="G138" s="1373"/>
      <c r="H138" s="573"/>
    </row>
    <row r="139" spans="1:8" x14ac:dyDescent="0.2">
      <c r="A139" s="626"/>
      <c r="B139" s="627" t="s">
        <v>114</v>
      </c>
      <c r="C139" s="627"/>
      <c r="D139" s="627"/>
      <c r="E139" s="627"/>
      <c r="F139" s="628"/>
      <c r="G139" s="629">
        <f ca="1">G137</f>
        <v>5958.51</v>
      </c>
      <c r="H139" s="573"/>
    </row>
    <row r="140" spans="1:8" x14ac:dyDescent="0.2">
      <c r="A140" s="770"/>
      <c r="B140" s="771" t="s">
        <v>115</v>
      </c>
      <c r="C140" s="771"/>
      <c r="D140" s="771"/>
      <c r="E140" s="771"/>
      <c r="F140" s="772">
        <f>F21</f>
        <v>1</v>
      </c>
      <c r="G140" s="773">
        <f ca="1">G139*F140</f>
        <v>5958.51</v>
      </c>
      <c r="H140" s="573"/>
    </row>
    <row r="141" spans="1:8" x14ac:dyDescent="0.2">
      <c r="F141" s="476"/>
    </row>
    <row r="148" spans="7:7" x14ac:dyDescent="0.2">
      <c r="G148" s="630"/>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I151"/>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220" t="s">
        <v>425</v>
      </c>
      <c r="B2" s="1221"/>
      <c r="C2" s="1221"/>
      <c r="D2" s="2"/>
      <c r="E2" s="2"/>
      <c r="F2" s="1222" t="s">
        <v>477</v>
      </c>
      <c r="G2" s="1223"/>
    </row>
    <row r="3" spans="1:8" ht="18" customHeight="1" x14ac:dyDescent="0.2">
      <c r="A3" s="1224" t="s">
        <v>392</v>
      </c>
      <c r="B3" s="1026"/>
      <c r="C3" s="1026"/>
      <c r="D3" s="1026"/>
      <c r="E3" s="1026"/>
      <c r="F3" s="1026"/>
      <c r="G3" s="1027"/>
    </row>
    <row r="4" spans="1:8" ht="18" customHeight="1" thickBot="1" x14ac:dyDescent="0.25">
      <c r="A4" s="1225"/>
      <c r="B4" s="1226"/>
      <c r="C4" s="1226"/>
      <c r="D4" s="1226"/>
      <c r="E4" s="1226"/>
      <c r="F4" s="1226"/>
      <c r="G4" s="1227"/>
    </row>
    <row r="5" spans="1:8" ht="14.1" customHeight="1" x14ac:dyDescent="0.2">
      <c r="A5" s="1228" t="s">
        <v>5</v>
      </c>
      <c r="B5" s="1229"/>
      <c r="C5" s="1229"/>
      <c r="D5" s="1229"/>
      <c r="E5" s="1229"/>
      <c r="F5" s="1230"/>
      <c r="G5" s="1231"/>
    </row>
    <row r="6" spans="1:8" ht="12.75" customHeight="1" x14ac:dyDescent="0.2">
      <c r="A6" s="1191" t="s">
        <v>16</v>
      </c>
      <c r="B6" s="1192"/>
      <c r="C6" s="1192"/>
      <c r="D6" s="1192"/>
      <c r="E6" s="1193"/>
      <c r="F6" s="1198"/>
      <c r="G6" s="1199"/>
    </row>
    <row r="7" spans="1:8" ht="14.1" customHeight="1" x14ac:dyDescent="0.2">
      <c r="A7" s="1191" t="s">
        <v>11</v>
      </c>
      <c r="B7" s="1192"/>
      <c r="C7" s="1192"/>
      <c r="D7" s="1192"/>
      <c r="E7" s="1193"/>
      <c r="F7" s="1215" t="s">
        <v>496</v>
      </c>
      <c r="G7" s="1199"/>
    </row>
    <row r="8" spans="1:8" ht="19.5" customHeight="1" x14ac:dyDescent="0.2">
      <c r="A8" s="1216" t="s">
        <v>146</v>
      </c>
      <c r="B8" s="1041"/>
      <c r="C8" s="1041"/>
      <c r="D8" s="1041"/>
      <c r="E8" s="1041"/>
      <c r="F8" s="1041"/>
      <c r="G8" s="1217"/>
    </row>
    <row r="9" spans="1:8" ht="19.5" customHeight="1" x14ac:dyDescent="0.2">
      <c r="A9" s="1218"/>
      <c r="B9" s="1044"/>
      <c r="C9" s="1044"/>
      <c r="D9" s="1044"/>
      <c r="E9" s="1044"/>
      <c r="F9" s="1044"/>
      <c r="G9" s="1219"/>
    </row>
    <row r="10" spans="1:8" ht="14.1" customHeight="1" x14ac:dyDescent="0.2">
      <c r="A10" s="1201" t="s">
        <v>17</v>
      </c>
      <c r="B10" s="1202"/>
      <c r="C10" s="1202"/>
      <c r="D10" s="1202"/>
      <c r="E10" s="1203"/>
      <c r="F10" s="1211">
        <v>2025</v>
      </c>
      <c r="G10" s="1212"/>
    </row>
    <row r="11" spans="1:8" ht="14.1" customHeight="1" x14ac:dyDescent="0.2">
      <c r="A11" s="1201" t="s">
        <v>18</v>
      </c>
      <c r="B11" s="1202"/>
      <c r="C11" s="1202"/>
      <c r="D11" s="1202"/>
      <c r="E11" s="1203"/>
      <c r="F11" s="1211" t="s">
        <v>394</v>
      </c>
      <c r="G11" s="1212"/>
    </row>
    <row r="12" spans="1:8" ht="14.1" customHeight="1" x14ac:dyDescent="0.2">
      <c r="A12" s="1201" t="s">
        <v>19</v>
      </c>
      <c r="B12" s="1202"/>
      <c r="C12" s="1202"/>
      <c r="D12" s="1202"/>
      <c r="E12" s="1203"/>
      <c r="F12" s="1211" t="s">
        <v>20</v>
      </c>
      <c r="G12" s="1212"/>
    </row>
    <row r="13" spans="1:8" ht="14.1" customHeight="1" x14ac:dyDescent="0.2">
      <c r="A13" s="1201" t="s">
        <v>10</v>
      </c>
      <c r="B13" s="1202"/>
      <c r="C13" s="1202"/>
      <c r="D13" s="1202"/>
      <c r="E13" s="1203"/>
      <c r="F13" s="1211" t="s">
        <v>9</v>
      </c>
      <c r="G13" s="1212"/>
    </row>
    <row r="14" spans="1:8" ht="14.1" customHeight="1" x14ac:dyDescent="0.2">
      <c r="A14" s="1138" t="s">
        <v>6</v>
      </c>
      <c r="B14" s="1139"/>
      <c r="C14" s="1139"/>
      <c r="D14" s="1139"/>
      <c r="E14" s="1139"/>
      <c r="F14" s="1140"/>
      <c r="G14" s="1141"/>
    </row>
    <row r="15" spans="1:8" ht="14.1" customHeight="1" x14ac:dyDescent="0.2">
      <c r="A15" s="1201" t="s">
        <v>7</v>
      </c>
      <c r="B15" s="1202"/>
      <c r="C15" s="1202"/>
      <c r="D15" s="1202"/>
      <c r="E15" s="1203"/>
      <c r="F15" s="1213">
        <v>1518</v>
      </c>
      <c r="G15" s="1214"/>
    </row>
    <row r="16" spans="1:8" ht="14.1" customHeight="1" x14ac:dyDescent="0.2">
      <c r="A16" s="1201" t="s">
        <v>0</v>
      </c>
      <c r="B16" s="1202"/>
      <c r="C16" s="1202"/>
      <c r="D16" s="1202"/>
      <c r="E16" s="1203"/>
      <c r="F16" s="1205" t="s">
        <v>395</v>
      </c>
      <c r="G16" s="1206"/>
      <c r="H16" s="3"/>
    </row>
    <row r="17" spans="1:8" ht="14.1" customHeight="1" x14ac:dyDescent="0.2">
      <c r="A17" s="1201" t="s">
        <v>21</v>
      </c>
      <c r="B17" s="1202"/>
      <c r="C17" s="1202"/>
      <c r="D17" s="1202"/>
      <c r="E17" s="1203"/>
      <c r="F17" s="1207" t="s">
        <v>396</v>
      </c>
      <c r="G17" s="1208"/>
      <c r="H17" s="3"/>
    </row>
    <row r="18" spans="1:8" ht="14.1" customHeight="1" x14ac:dyDescent="0.2">
      <c r="A18" s="1201" t="s">
        <v>1</v>
      </c>
      <c r="B18" s="1202"/>
      <c r="C18" s="1202"/>
      <c r="D18" s="1202"/>
      <c r="E18" s="1203"/>
      <c r="F18" s="1209">
        <v>1766.58</v>
      </c>
      <c r="G18" s="1210"/>
    </row>
    <row r="19" spans="1:8" ht="14.1" customHeight="1" x14ac:dyDescent="0.2">
      <c r="A19" s="1191" t="s">
        <v>8</v>
      </c>
      <c r="B19" s="1192"/>
      <c r="C19" s="1192"/>
      <c r="D19" s="1192"/>
      <c r="E19" s="1193"/>
      <c r="F19" s="1200">
        <v>45658</v>
      </c>
      <c r="G19" s="1013"/>
    </row>
    <row r="20" spans="1:8" ht="14.1" customHeight="1" x14ac:dyDescent="0.2">
      <c r="A20" s="1201" t="s">
        <v>22</v>
      </c>
      <c r="B20" s="1202"/>
      <c r="C20" s="1202"/>
      <c r="D20" s="1202"/>
      <c r="E20" s="1203"/>
      <c r="F20" s="1204" t="s">
        <v>140</v>
      </c>
      <c r="G20" s="1004"/>
    </row>
    <row r="21" spans="1:8" ht="14.1" customHeight="1" x14ac:dyDescent="0.2">
      <c r="A21" s="1191" t="s">
        <v>23</v>
      </c>
      <c r="B21" s="1192"/>
      <c r="C21" s="1192"/>
      <c r="D21" s="1192"/>
      <c r="E21" s="1193"/>
      <c r="F21" s="1194">
        <v>1</v>
      </c>
      <c r="G21" s="1009"/>
    </row>
    <row r="22" spans="1:8" ht="14.1" customHeight="1" x14ac:dyDescent="0.2">
      <c r="A22" s="1191" t="s">
        <v>24</v>
      </c>
      <c r="B22" s="1192"/>
      <c r="C22" s="1192"/>
      <c r="D22" s="1192"/>
      <c r="E22" s="1193"/>
      <c r="F22" s="1194">
        <v>1</v>
      </c>
      <c r="G22" s="1009"/>
    </row>
    <row r="23" spans="1:8" ht="12.75" customHeight="1" x14ac:dyDescent="0.2">
      <c r="A23" s="1191" t="s">
        <v>25</v>
      </c>
      <c r="B23" s="1192"/>
      <c r="C23" s="1192"/>
      <c r="D23" s="1192"/>
      <c r="E23" s="1193"/>
      <c r="F23" s="1195" t="s">
        <v>214</v>
      </c>
      <c r="G23" s="1196"/>
    </row>
    <row r="24" spans="1:8" ht="21" customHeight="1" x14ac:dyDescent="0.2">
      <c r="A24" s="1197" t="s">
        <v>494</v>
      </c>
      <c r="B24" s="1198"/>
      <c r="C24" s="1198"/>
      <c r="D24" s="1198"/>
      <c r="E24" s="1198"/>
      <c r="F24" s="1198"/>
      <c r="G24" s="1199"/>
    </row>
    <row r="25" spans="1:8" x14ac:dyDescent="0.2">
      <c r="A25" s="1138" t="s">
        <v>2</v>
      </c>
      <c r="B25" s="1139"/>
      <c r="C25" s="1139"/>
      <c r="D25" s="1139"/>
      <c r="E25" s="1139"/>
      <c r="F25" s="1140"/>
      <c r="G25" s="1141"/>
    </row>
    <row r="26" spans="1:8" x14ac:dyDescent="0.2">
      <c r="A26" s="632">
        <v>1</v>
      </c>
      <c r="B26" s="1189" t="s">
        <v>26</v>
      </c>
      <c r="C26" s="1189"/>
      <c r="D26" s="1189"/>
      <c r="E26" s="1189"/>
      <c r="F26" s="633" t="s">
        <v>27</v>
      </c>
      <c r="G26" s="634" t="s">
        <v>3</v>
      </c>
    </row>
    <row r="27" spans="1:8" x14ac:dyDescent="0.2">
      <c r="A27" s="319" t="s">
        <v>28</v>
      </c>
      <c r="B27" s="1190" t="s">
        <v>397</v>
      </c>
      <c r="C27" s="1190"/>
      <c r="D27" s="1190"/>
      <c r="E27" s="1190"/>
      <c r="F27" s="269">
        <v>1</v>
      </c>
      <c r="G27" s="270">
        <f>F18*F27</f>
        <v>1766.58</v>
      </c>
      <c r="H27" s="271"/>
    </row>
    <row r="28" spans="1:8" x14ac:dyDescent="0.2">
      <c r="A28" s="319" t="s">
        <v>29</v>
      </c>
      <c r="B28" s="1187" t="s">
        <v>117</v>
      </c>
      <c r="C28" s="1187"/>
      <c r="D28" s="1187"/>
      <c r="E28" s="1187"/>
      <c r="F28" s="272">
        <v>0</v>
      </c>
      <c r="G28" s="270">
        <f>ROUND(G27*F28,2)</f>
        <v>0</v>
      </c>
      <c r="H28" s="271"/>
    </row>
    <row r="29" spans="1:8" x14ac:dyDescent="0.2">
      <c r="A29" s="319" t="s">
        <v>30</v>
      </c>
      <c r="B29" s="1187" t="s">
        <v>15</v>
      </c>
      <c r="C29" s="1187"/>
      <c r="D29" s="1187"/>
      <c r="E29" s="1187"/>
      <c r="F29" s="272">
        <v>0.2</v>
      </c>
      <c r="G29" s="270">
        <f>ROUND(F15*F29,2)</f>
        <v>303.60000000000002</v>
      </c>
      <c r="H29" s="271"/>
    </row>
    <row r="30" spans="1:8" x14ac:dyDescent="0.2">
      <c r="A30" s="319" t="s">
        <v>31</v>
      </c>
      <c r="B30" s="1187" t="s">
        <v>154</v>
      </c>
      <c r="C30" s="1187"/>
      <c r="D30" s="1187"/>
      <c r="E30" s="1187"/>
      <c r="F30" s="269">
        <f>ROUND((ROUND((0*15.22),2)/52.5)*60,2)</f>
        <v>0</v>
      </c>
      <c r="G30" s="270">
        <f>ROUND(ROUND(ROUND((SUM(G27:G29)+G33)/220,2)*0.2,2)*F30,2)</f>
        <v>0</v>
      </c>
      <c r="H30" s="271"/>
    </row>
    <row r="31" spans="1:8" x14ac:dyDescent="0.2">
      <c r="A31" s="319" t="s">
        <v>32</v>
      </c>
      <c r="B31" s="1187" t="s">
        <v>33</v>
      </c>
      <c r="C31" s="1187"/>
      <c r="D31" s="1187"/>
      <c r="E31" s="1187"/>
      <c r="F31" s="269">
        <v>0</v>
      </c>
      <c r="G31" s="270"/>
      <c r="H31" s="271"/>
    </row>
    <row r="32" spans="1:8" x14ac:dyDescent="0.2">
      <c r="A32" s="319" t="s">
        <v>34</v>
      </c>
      <c r="B32" s="1187" t="s">
        <v>155</v>
      </c>
      <c r="C32" s="1187"/>
      <c r="D32" s="1187"/>
      <c r="E32" s="1187"/>
      <c r="F32" s="269">
        <f>ROUND(SUM(F30)/15.22*5,2)</f>
        <v>0</v>
      </c>
      <c r="G32" s="270">
        <f>ROUND(ROUND(ROUND((SUM(G27:G29)+G33)/220,2)*0.2,2)*F32,2)</f>
        <v>0</v>
      </c>
      <c r="H32" s="271"/>
    </row>
    <row r="33" spans="1:8" x14ac:dyDescent="0.2">
      <c r="A33" s="319" t="s">
        <v>48</v>
      </c>
      <c r="B33" s="1187" t="s">
        <v>156</v>
      </c>
      <c r="C33" s="1187"/>
      <c r="D33" s="1187"/>
      <c r="E33" s="1187"/>
      <c r="F33" s="272">
        <v>0</v>
      </c>
      <c r="G33" s="270">
        <f>ROUND(F18*F33,2)</f>
        <v>0</v>
      </c>
      <c r="H33" s="271"/>
    </row>
    <row r="34" spans="1:8" x14ac:dyDescent="0.2">
      <c r="A34" s="1160" t="s">
        <v>35</v>
      </c>
      <c r="B34" s="1126"/>
      <c r="C34" s="1126"/>
      <c r="D34" s="1126"/>
      <c r="E34" s="1126"/>
      <c r="F34" s="1188"/>
      <c r="G34" s="635">
        <f>SUM(G27:G33)</f>
        <v>2070.1799999999998</v>
      </c>
    </row>
    <row r="35" spans="1:8" x14ac:dyDescent="0.2">
      <c r="A35" s="1138" t="s">
        <v>36</v>
      </c>
      <c r="B35" s="1139"/>
      <c r="C35" s="1139"/>
      <c r="D35" s="1139"/>
      <c r="E35" s="1139"/>
      <c r="F35" s="1140"/>
      <c r="G35" s="1141"/>
    </row>
    <row r="36" spans="1:8" x14ac:dyDescent="0.2">
      <c r="A36" s="1161" t="s">
        <v>37</v>
      </c>
      <c r="B36" s="1162"/>
      <c r="C36" s="1162"/>
      <c r="D36" s="1162"/>
      <c r="E36" s="1162"/>
      <c r="F36" s="1162"/>
      <c r="G36" s="1163"/>
      <c r="H36" s="4"/>
    </row>
    <row r="37" spans="1:8" s="7" customFormat="1" x14ac:dyDescent="0.2">
      <c r="A37" s="636" t="s">
        <v>28</v>
      </c>
      <c r="B37" s="1164" t="s">
        <v>38</v>
      </c>
      <c r="C37" s="960"/>
      <c r="D37" s="960"/>
      <c r="E37" s="1186"/>
      <c r="F37" s="273">
        <v>8.3299999999999999E-2</v>
      </c>
      <c r="G37" s="107">
        <f>ROUND(G$34*F37,2)</f>
        <v>172.45</v>
      </c>
      <c r="H37" s="475"/>
    </row>
    <row r="38" spans="1:8" x14ac:dyDescent="0.2">
      <c r="A38" s="108" t="s">
        <v>29</v>
      </c>
      <c r="B38" s="1174" t="s">
        <v>398</v>
      </c>
      <c r="C38" s="978"/>
      <c r="D38" s="978"/>
      <c r="E38" s="1184"/>
      <c r="F38" s="274">
        <f>ROUND((1/11)+(1/11)/3, 3)</f>
        <v>0.121</v>
      </c>
      <c r="G38" s="275">
        <f>ROUND(G$34*F38,2)</f>
        <v>250.49</v>
      </c>
      <c r="H38" s="4"/>
    </row>
    <row r="39" spans="1:8" x14ac:dyDescent="0.2">
      <c r="A39" s="637"/>
      <c r="B39" s="1185" t="s">
        <v>39</v>
      </c>
      <c r="C39" s="1185"/>
      <c r="D39" s="1185"/>
      <c r="E39" s="1185"/>
      <c r="F39" s="638">
        <f>SUM(F37:F38)</f>
        <v>0.20430000000000001</v>
      </c>
      <c r="G39" s="107"/>
      <c r="H39" s="4"/>
    </row>
    <row r="40" spans="1:8" x14ac:dyDescent="0.2">
      <c r="A40" s="639" t="s">
        <v>30</v>
      </c>
      <c r="B40" s="640" t="s">
        <v>40</v>
      </c>
      <c r="C40" s="641"/>
      <c r="D40" s="641"/>
      <c r="E40" s="641"/>
      <c r="F40" s="642">
        <f>ROUND((F51*F39),4)</f>
        <v>6.9099999999999995E-2</v>
      </c>
      <c r="G40" s="643">
        <f>ROUND(G$34*F40,2)</f>
        <v>143.05000000000001</v>
      </c>
      <c r="H40" s="4"/>
    </row>
    <row r="41" spans="1:8" x14ac:dyDescent="0.2">
      <c r="A41" s="1148" t="s">
        <v>41</v>
      </c>
      <c r="B41" s="1149"/>
      <c r="C41" s="1149"/>
      <c r="D41" s="1149"/>
      <c r="E41" s="1150"/>
      <c r="F41" s="644">
        <f>ROUND(SUM(F39:F40),4)</f>
        <v>0.27339999999999998</v>
      </c>
      <c r="G41" s="645">
        <f>SUM(G37:G40)</f>
        <v>565.99</v>
      </c>
      <c r="H41" s="4">
        <f>ROUND(G34*F41,2)</f>
        <v>565.99</v>
      </c>
    </row>
    <row r="42" spans="1:8" x14ac:dyDescent="0.2">
      <c r="A42" s="1161" t="s">
        <v>118</v>
      </c>
      <c r="B42" s="1162"/>
      <c r="C42" s="1162"/>
      <c r="D42" s="1162"/>
      <c r="E42" s="1162"/>
      <c r="F42" s="1162"/>
      <c r="G42" s="1163"/>
      <c r="H42" s="4"/>
    </row>
    <row r="43" spans="1:8" x14ac:dyDescent="0.2">
      <c r="A43" s="646" t="s">
        <v>28</v>
      </c>
      <c r="B43" s="1164" t="s">
        <v>42</v>
      </c>
      <c r="C43" s="960"/>
      <c r="D43" s="960"/>
      <c r="E43" s="1186"/>
      <c r="F43" s="647">
        <v>0.2</v>
      </c>
      <c r="G43" s="648">
        <f t="shared" ref="G43:G50" si="0">ROUND(G$34*F43,2)</f>
        <v>414.04</v>
      </c>
      <c r="H43" s="4"/>
    </row>
    <row r="44" spans="1:8" x14ac:dyDescent="0.2">
      <c r="A44" s="636" t="s">
        <v>29</v>
      </c>
      <c r="B44" s="1171" t="s">
        <v>43</v>
      </c>
      <c r="C44" s="976"/>
      <c r="D44" s="976"/>
      <c r="E44" s="989"/>
      <c r="F44" s="273">
        <v>2.5000000000000001E-2</v>
      </c>
      <c r="G44" s="107">
        <f t="shared" si="0"/>
        <v>51.75</v>
      </c>
      <c r="H44" s="4"/>
    </row>
    <row r="45" spans="1:8" x14ac:dyDescent="0.2">
      <c r="A45" s="636" t="s">
        <v>30</v>
      </c>
      <c r="B45" s="1171" t="s">
        <v>44</v>
      </c>
      <c r="C45" s="976"/>
      <c r="D45" s="976"/>
      <c r="E45" s="989"/>
      <c r="F45" s="737">
        <v>0</v>
      </c>
      <c r="G45" s="107">
        <f t="shared" si="0"/>
        <v>0</v>
      </c>
      <c r="H45" s="4"/>
    </row>
    <row r="46" spans="1:8" x14ac:dyDescent="0.2">
      <c r="A46" s="636" t="s">
        <v>31</v>
      </c>
      <c r="B46" s="1171" t="s">
        <v>45</v>
      </c>
      <c r="C46" s="976"/>
      <c r="D46" s="976"/>
      <c r="E46" s="989"/>
      <c r="F46" s="273">
        <v>1.4999999999999999E-2</v>
      </c>
      <c r="G46" s="107">
        <f t="shared" si="0"/>
        <v>31.05</v>
      </c>
      <c r="H46" s="4"/>
    </row>
    <row r="47" spans="1:8" x14ac:dyDescent="0.2">
      <c r="A47" s="636" t="s">
        <v>32</v>
      </c>
      <c r="B47" s="1171" t="s">
        <v>46</v>
      </c>
      <c r="C47" s="976"/>
      <c r="D47" s="976"/>
      <c r="E47" s="989"/>
      <c r="F47" s="273">
        <v>0.01</v>
      </c>
      <c r="G47" s="107">
        <f t="shared" si="0"/>
        <v>20.7</v>
      </c>
      <c r="H47" s="4"/>
    </row>
    <row r="48" spans="1:8" x14ac:dyDescent="0.2">
      <c r="A48" s="636" t="s">
        <v>34</v>
      </c>
      <c r="B48" s="1171" t="s">
        <v>47</v>
      </c>
      <c r="C48" s="976"/>
      <c r="D48" s="976"/>
      <c r="E48" s="989"/>
      <c r="F48" s="273">
        <v>6.0000000000000001E-3</v>
      </c>
      <c r="G48" s="107">
        <f t="shared" si="0"/>
        <v>12.42</v>
      </c>
      <c r="H48" s="4"/>
    </row>
    <row r="49" spans="1:8" x14ac:dyDescent="0.2">
      <c r="A49" s="636" t="s">
        <v>48</v>
      </c>
      <c r="B49" s="1171" t="s">
        <v>49</v>
      </c>
      <c r="C49" s="976"/>
      <c r="D49" s="976"/>
      <c r="E49" s="989"/>
      <c r="F49" s="273">
        <v>2E-3</v>
      </c>
      <c r="G49" s="107">
        <f t="shared" si="0"/>
        <v>4.1399999999999997</v>
      </c>
      <c r="H49" s="4"/>
    </row>
    <row r="50" spans="1:8" x14ac:dyDescent="0.2">
      <c r="A50" s="108" t="s">
        <v>50</v>
      </c>
      <c r="B50" s="1174" t="s">
        <v>51</v>
      </c>
      <c r="C50" s="978"/>
      <c r="D50" s="978"/>
      <c r="E50" s="1184"/>
      <c r="F50" s="274">
        <v>0.08</v>
      </c>
      <c r="G50" s="275">
        <f t="shared" si="0"/>
        <v>165.61</v>
      </c>
      <c r="H50" s="4"/>
    </row>
    <row r="51" spans="1:8" x14ac:dyDescent="0.2">
      <c r="A51" s="1148" t="s">
        <v>52</v>
      </c>
      <c r="B51" s="1149"/>
      <c r="C51" s="1149"/>
      <c r="D51" s="1149"/>
      <c r="E51" s="1150"/>
      <c r="F51" s="644">
        <f>SUM(F43:F50)</f>
        <v>0.33800000000000002</v>
      </c>
      <c r="G51" s="645">
        <f>SUM(G43:G50)</f>
        <v>699.71</v>
      </c>
      <c r="H51" s="4">
        <f>ROUND(G34*F51,2)</f>
        <v>699.72</v>
      </c>
    </row>
    <row r="52" spans="1:8" x14ac:dyDescent="0.2">
      <c r="A52" s="1161" t="s">
        <v>53</v>
      </c>
      <c r="B52" s="1162"/>
      <c r="C52" s="1162"/>
      <c r="D52" s="1162"/>
      <c r="E52" s="1162"/>
      <c r="F52" s="1162"/>
      <c r="G52" s="1163"/>
      <c r="H52" s="4"/>
    </row>
    <row r="53" spans="1:8" x14ac:dyDescent="0.2">
      <c r="A53" s="649" t="s">
        <v>28</v>
      </c>
      <c r="B53" s="1182" t="s">
        <v>54</v>
      </c>
      <c r="C53" s="1183"/>
      <c r="D53" s="1183"/>
      <c r="E53" s="774">
        <v>0</v>
      </c>
      <c r="F53" s="650">
        <v>42</v>
      </c>
      <c r="G53" s="651">
        <f>IF(ROUND((E53*F53)-(G27*0.06),2)&lt;0,0,ROUND((E53*F53)-(G27*0.06),2))</f>
        <v>0</v>
      </c>
      <c r="H53" s="4"/>
    </row>
    <row r="54" spans="1:8" x14ac:dyDescent="0.2">
      <c r="A54" s="320" t="s">
        <v>29</v>
      </c>
      <c r="B54" s="1178" t="s">
        <v>56</v>
      </c>
      <c r="C54" s="982"/>
      <c r="D54" s="982"/>
      <c r="E54" s="276">
        <f>20.76-1.39</f>
        <v>19.37</v>
      </c>
      <c r="F54" s="277">
        <v>21</v>
      </c>
      <c r="G54" s="270">
        <f t="shared" ref="G54:G62" si="1">ROUND((E54*F54),2)</f>
        <v>406.77</v>
      </c>
      <c r="H54" s="4"/>
    </row>
    <row r="55" spans="1:8" x14ac:dyDescent="0.2">
      <c r="A55" s="320" t="s">
        <v>30</v>
      </c>
      <c r="B55" s="1178" t="s">
        <v>58</v>
      </c>
      <c r="C55" s="982"/>
      <c r="D55" s="982"/>
      <c r="E55" s="276">
        <v>144.68</v>
      </c>
      <c r="F55" s="277">
        <v>1</v>
      </c>
      <c r="G55" s="270">
        <f t="shared" si="1"/>
        <v>144.68</v>
      </c>
      <c r="H55" s="4"/>
    </row>
    <row r="56" spans="1:8" x14ac:dyDescent="0.2">
      <c r="A56" s="320" t="s">
        <v>31</v>
      </c>
      <c r="B56" s="1178" t="s">
        <v>149</v>
      </c>
      <c r="C56" s="982"/>
      <c r="D56" s="982"/>
      <c r="E56" s="276">
        <v>35.33</v>
      </c>
      <c r="F56" s="277">
        <v>1</v>
      </c>
      <c r="G56" s="270">
        <f t="shared" si="1"/>
        <v>35.33</v>
      </c>
      <c r="H56" s="4"/>
    </row>
    <row r="57" spans="1:8" x14ac:dyDescent="0.2">
      <c r="A57" s="320" t="s">
        <v>32</v>
      </c>
      <c r="B57" s="1178" t="s">
        <v>179</v>
      </c>
      <c r="C57" s="982"/>
      <c r="D57" s="982"/>
      <c r="E57" s="739">
        <f>ROUND((F18*30%)*5%,2)*0</f>
        <v>0</v>
      </c>
      <c r="F57" s="277">
        <v>1</v>
      </c>
      <c r="G57" s="270">
        <f t="shared" si="1"/>
        <v>0</v>
      </c>
      <c r="H57" s="4"/>
    </row>
    <row r="58" spans="1:8" x14ac:dyDescent="0.2">
      <c r="A58" s="320" t="s">
        <v>34</v>
      </c>
      <c r="B58" s="1178" t="s">
        <v>150</v>
      </c>
      <c r="C58" s="982"/>
      <c r="D58" s="982"/>
      <c r="E58" s="276">
        <f>20.76</f>
        <v>20.76</v>
      </c>
      <c r="F58" s="277">
        <v>1</v>
      </c>
      <c r="G58" s="270">
        <f t="shared" si="1"/>
        <v>20.76</v>
      </c>
      <c r="H58" s="4"/>
    </row>
    <row r="59" spans="1:8" x14ac:dyDescent="0.2">
      <c r="A59" s="320" t="s">
        <v>48</v>
      </c>
      <c r="B59" s="1178" t="s">
        <v>180</v>
      </c>
      <c r="C59" s="982"/>
      <c r="D59" s="982"/>
      <c r="E59" s="296">
        <f>15.96</f>
        <v>15.96</v>
      </c>
      <c r="F59" s="277">
        <v>1</v>
      </c>
      <c r="G59" s="270">
        <f t="shared" si="1"/>
        <v>15.96</v>
      </c>
      <c r="H59" s="4"/>
    </row>
    <row r="60" spans="1:8" x14ac:dyDescent="0.2">
      <c r="A60" s="320" t="s">
        <v>50</v>
      </c>
      <c r="B60" s="1179" t="s">
        <v>254</v>
      </c>
      <c r="C60" s="986"/>
      <c r="D60" s="986"/>
      <c r="E60" s="297">
        <v>300</v>
      </c>
      <c r="F60" s="277">
        <v>1</v>
      </c>
      <c r="G60" s="270">
        <f t="shared" si="1"/>
        <v>300</v>
      </c>
      <c r="H60" s="4"/>
    </row>
    <row r="61" spans="1:8" x14ac:dyDescent="0.2">
      <c r="A61" s="320" t="s">
        <v>151</v>
      </c>
      <c r="B61" s="1179" t="s">
        <v>152</v>
      </c>
      <c r="C61" s="986"/>
      <c r="D61" s="986"/>
      <c r="E61" s="297">
        <v>0</v>
      </c>
      <c r="F61" s="277">
        <v>1</v>
      </c>
      <c r="G61" s="270">
        <f t="shared" si="1"/>
        <v>0</v>
      </c>
      <c r="H61" s="4"/>
    </row>
    <row r="62" spans="1:8" x14ac:dyDescent="0.2">
      <c r="A62" s="320" t="s">
        <v>417</v>
      </c>
      <c r="B62" s="1180" t="s">
        <v>152</v>
      </c>
      <c r="C62" s="1181"/>
      <c r="D62" s="1181"/>
      <c r="E62" s="278">
        <v>0</v>
      </c>
      <c r="F62" s="277">
        <v>1</v>
      </c>
      <c r="G62" s="270">
        <f t="shared" si="1"/>
        <v>0</v>
      </c>
      <c r="H62" s="4"/>
    </row>
    <row r="63" spans="1:8" x14ac:dyDescent="0.2">
      <c r="A63" s="1177" t="s">
        <v>60</v>
      </c>
      <c r="B63" s="1125"/>
      <c r="C63" s="1125"/>
      <c r="D63" s="1125"/>
      <c r="E63" s="1125"/>
      <c r="F63" s="1126"/>
      <c r="G63" s="635">
        <f>SUM(G53:G62)+52.42</f>
        <v>975.92</v>
      </c>
      <c r="H63" s="4"/>
    </row>
    <row r="64" spans="1:8" x14ac:dyDescent="0.2">
      <c r="A64" s="1138" t="s">
        <v>61</v>
      </c>
      <c r="B64" s="1139"/>
      <c r="C64" s="1139"/>
      <c r="D64" s="1139"/>
      <c r="E64" s="1139"/>
      <c r="F64" s="1140"/>
      <c r="G64" s="1141"/>
      <c r="H64" s="4"/>
    </row>
    <row r="65" spans="1:8" x14ac:dyDescent="0.2">
      <c r="A65" s="652" t="s">
        <v>62</v>
      </c>
      <c r="B65" s="1142" t="s">
        <v>63</v>
      </c>
      <c r="C65" s="953"/>
      <c r="D65" s="953"/>
      <c r="E65" s="953"/>
      <c r="F65" s="653">
        <f>F41</f>
        <v>0.27339999999999998</v>
      </c>
      <c r="G65" s="654">
        <f>G41</f>
        <v>565.99</v>
      </c>
      <c r="H65" s="4"/>
    </row>
    <row r="66" spans="1:8" x14ac:dyDescent="0.2">
      <c r="A66" s="655" t="s">
        <v>64</v>
      </c>
      <c r="B66" s="1132" t="s">
        <v>128</v>
      </c>
      <c r="C66" s="928"/>
      <c r="D66" s="928"/>
      <c r="E66" s="928"/>
      <c r="F66" s="18">
        <f>F51</f>
        <v>0.33800000000000002</v>
      </c>
      <c r="G66" s="279">
        <f>G51</f>
        <v>699.71</v>
      </c>
      <c r="H66" s="4"/>
    </row>
    <row r="67" spans="1:8" x14ac:dyDescent="0.2">
      <c r="A67" s="655" t="s">
        <v>65</v>
      </c>
      <c r="B67" s="1132" t="s">
        <v>66</v>
      </c>
      <c r="C67" s="928"/>
      <c r="D67" s="928"/>
      <c r="E67" s="928"/>
      <c r="F67" s="929"/>
      <c r="G67" s="279">
        <f>G63</f>
        <v>975.92</v>
      </c>
      <c r="H67" s="4"/>
    </row>
    <row r="68" spans="1:8" x14ac:dyDescent="0.2">
      <c r="A68" s="1124" t="s">
        <v>67</v>
      </c>
      <c r="B68" s="1125"/>
      <c r="C68" s="1125"/>
      <c r="D68" s="1125"/>
      <c r="E68" s="1125"/>
      <c r="F68" s="1126"/>
      <c r="G68" s="635">
        <f>SUM(G65:G67)</f>
        <v>2241.62</v>
      </c>
      <c r="H68" s="4"/>
    </row>
    <row r="69" spans="1:8" x14ac:dyDescent="0.2">
      <c r="A69" s="1138" t="s">
        <v>68</v>
      </c>
      <c r="B69" s="1139"/>
      <c r="C69" s="1139"/>
      <c r="D69" s="1139"/>
      <c r="E69" s="1139"/>
      <c r="F69" s="1140"/>
      <c r="G69" s="1141"/>
      <c r="H69" s="4"/>
    </row>
    <row r="70" spans="1:8" s="21" customFormat="1" x14ac:dyDescent="0.2">
      <c r="A70" s="632">
        <v>3</v>
      </c>
      <c r="B70" s="19" t="s">
        <v>69</v>
      </c>
      <c r="C70" s="19"/>
      <c r="D70" s="19"/>
      <c r="E70" s="19"/>
      <c r="F70" s="19"/>
      <c r="G70" s="656"/>
      <c r="H70" s="4"/>
    </row>
    <row r="71" spans="1:8" x14ac:dyDescent="0.2">
      <c r="A71" s="657" t="s">
        <v>28</v>
      </c>
      <c r="B71" s="1144" t="s">
        <v>70</v>
      </c>
      <c r="C71" s="943"/>
      <c r="D71" s="943"/>
      <c r="E71" s="943"/>
      <c r="F71" s="741">
        <f>ROUND((1/12)*0.05,4)*0</f>
        <v>0</v>
      </c>
      <c r="G71" s="658">
        <f t="shared" ref="G71:G76" si="2">ROUND(G$34*F71,2)</f>
        <v>0</v>
      </c>
      <c r="H71" s="4"/>
    </row>
    <row r="72" spans="1:8" x14ac:dyDescent="0.2">
      <c r="A72" s="434" t="s">
        <v>29</v>
      </c>
      <c r="B72" s="967" t="s">
        <v>71</v>
      </c>
      <c r="C72" s="920"/>
      <c r="D72" s="920"/>
      <c r="E72" s="920"/>
      <c r="F72" s="283">
        <f>ROUND((F71*F50),4)</f>
        <v>0</v>
      </c>
      <c r="G72" s="280">
        <f t="shared" si="2"/>
        <v>0</v>
      </c>
      <c r="H72" s="4"/>
    </row>
    <row r="73" spans="1:8" x14ac:dyDescent="0.2">
      <c r="A73" s="434" t="s">
        <v>30</v>
      </c>
      <c r="B73" s="967" t="s">
        <v>401</v>
      </c>
      <c r="C73" s="920"/>
      <c r="D73" s="920"/>
      <c r="E73" s="920"/>
      <c r="F73" s="743">
        <f>ROUND((0.08*0.4*0.9)*(1+0.09+0.09+0.3),2)*0</f>
        <v>0</v>
      </c>
      <c r="G73" s="280">
        <f t="shared" si="2"/>
        <v>0</v>
      </c>
      <c r="H73" s="4"/>
    </row>
    <row r="74" spans="1:8" x14ac:dyDescent="0.2">
      <c r="A74" s="434" t="s">
        <v>31</v>
      </c>
      <c r="B74" s="967" t="s">
        <v>72</v>
      </c>
      <c r="C74" s="920"/>
      <c r="D74" s="920"/>
      <c r="E74" s="920"/>
      <c r="F74" s="743">
        <f>ROUND(100%/30*7/12*100%,4)*0</f>
        <v>0</v>
      </c>
      <c r="G74" s="280">
        <f t="shared" si="2"/>
        <v>0</v>
      </c>
      <c r="H74" s="4"/>
    </row>
    <row r="75" spans="1:8" s="3" customFormat="1" x14ac:dyDescent="0.2">
      <c r="A75" s="434" t="s">
        <v>32</v>
      </c>
      <c r="B75" s="967" t="s">
        <v>119</v>
      </c>
      <c r="C75" s="920"/>
      <c r="D75" s="920"/>
      <c r="E75" s="920"/>
      <c r="F75" s="283">
        <f>ROUND(F74*F51,4)</f>
        <v>0</v>
      </c>
      <c r="G75" s="280">
        <f t="shared" si="2"/>
        <v>0</v>
      </c>
      <c r="H75" s="4"/>
    </row>
    <row r="76" spans="1:8" x14ac:dyDescent="0.2">
      <c r="A76" s="434" t="s">
        <v>34</v>
      </c>
      <c r="B76" s="968" t="s">
        <v>135</v>
      </c>
      <c r="C76" s="980"/>
      <c r="D76" s="980"/>
      <c r="E76" s="980"/>
      <c r="F76" s="298">
        <v>0</v>
      </c>
      <c r="G76" s="281">
        <f t="shared" si="2"/>
        <v>0</v>
      </c>
      <c r="H76" s="4"/>
    </row>
    <row r="77" spans="1:8" x14ac:dyDescent="0.2">
      <c r="A77" s="1124" t="s">
        <v>73</v>
      </c>
      <c r="B77" s="1125"/>
      <c r="C77" s="1125"/>
      <c r="D77" s="1125"/>
      <c r="E77" s="1125"/>
      <c r="F77" s="288">
        <f>SUM(F71:F76)</f>
        <v>0</v>
      </c>
      <c r="G77" s="282">
        <f>SUM(G71:G76)</f>
        <v>0</v>
      </c>
      <c r="H77" s="4">
        <f>ROUND(G34*F77,2)</f>
        <v>0</v>
      </c>
    </row>
    <row r="78" spans="1:8" x14ac:dyDescent="0.2">
      <c r="A78" s="1138" t="s">
        <v>74</v>
      </c>
      <c r="B78" s="1139"/>
      <c r="C78" s="1139"/>
      <c r="D78" s="1139"/>
      <c r="E78" s="1139"/>
      <c r="F78" s="1140"/>
      <c r="G78" s="1141"/>
      <c r="H78" s="4"/>
    </row>
    <row r="79" spans="1:8" s="21" customFormat="1" x14ac:dyDescent="0.2">
      <c r="A79" s="1161" t="s">
        <v>120</v>
      </c>
      <c r="B79" s="1162"/>
      <c r="C79" s="1162"/>
      <c r="D79" s="1162"/>
      <c r="E79" s="1162"/>
      <c r="F79" s="1162"/>
      <c r="G79" s="1163"/>
      <c r="H79" s="4"/>
    </row>
    <row r="80" spans="1:8" x14ac:dyDescent="0.2">
      <c r="A80" s="646" t="s">
        <v>28</v>
      </c>
      <c r="B80" s="1175" t="s">
        <v>405</v>
      </c>
      <c r="C80" s="1176"/>
      <c r="D80" s="1176"/>
      <c r="E80" s="1176"/>
      <c r="F80" s="647">
        <v>0</v>
      </c>
      <c r="G80" s="658">
        <f t="shared" ref="G80:G85" si="3">ROUND(G$34*F80,2)</f>
        <v>0</v>
      </c>
      <c r="H80" s="4"/>
    </row>
    <row r="81" spans="1:8" x14ac:dyDescent="0.2">
      <c r="A81" s="636" t="s">
        <v>29</v>
      </c>
      <c r="B81" s="1171" t="s">
        <v>121</v>
      </c>
      <c r="C81" s="976"/>
      <c r="D81" s="976"/>
      <c r="E81" s="976"/>
      <c r="F81" s="745">
        <f>ROUND(((1/30)/12)*1,4)*0</f>
        <v>0</v>
      </c>
      <c r="G81" s="280">
        <f t="shared" si="3"/>
        <v>0</v>
      </c>
      <c r="H81" s="4"/>
    </row>
    <row r="82" spans="1:8" x14ac:dyDescent="0.2">
      <c r="A82" s="636" t="s">
        <v>30</v>
      </c>
      <c r="B82" s="1171" t="s">
        <v>122</v>
      </c>
      <c r="C82" s="976"/>
      <c r="D82" s="976"/>
      <c r="E82" s="976"/>
      <c r="F82" s="745">
        <f>ROUND((((1/30)/12)*5)*0.02,4)*0</f>
        <v>0</v>
      </c>
      <c r="G82" s="280">
        <f t="shared" si="3"/>
        <v>0</v>
      </c>
      <c r="H82" s="4"/>
    </row>
    <row r="83" spans="1:8" x14ac:dyDescent="0.2">
      <c r="A83" s="636" t="s">
        <v>31</v>
      </c>
      <c r="B83" s="1171" t="s">
        <v>123</v>
      </c>
      <c r="C83" s="976"/>
      <c r="D83" s="976"/>
      <c r="E83" s="976"/>
      <c r="F83" s="745">
        <f>ROUND((((1/30)/12)*15)*0.05,4)*0</f>
        <v>0</v>
      </c>
      <c r="G83" s="280">
        <f t="shared" si="3"/>
        <v>0</v>
      </c>
      <c r="H83" s="4"/>
    </row>
    <row r="84" spans="1:8" x14ac:dyDescent="0.2">
      <c r="A84" s="636" t="s">
        <v>32</v>
      </c>
      <c r="B84" s="1172" t="s">
        <v>406</v>
      </c>
      <c r="C84" s="1173"/>
      <c r="D84" s="1173"/>
      <c r="E84" s="1173"/>
      <c r="F84" s="273">
        <v>0</v>
      </c>
      <c r="G84" s="280">
        <f t="shared" si="3"/>
        <v>0</v>
      </c>
      <c r="H84" s="4"/>
    </row>
    <row r="85" spans="1:8" x14ac:dyDescent="0.2">
      <c r="A85" s="636" t="s">
        <v>34</v>
      </c>
      <c r="B85" s="1174" t="s">
        <v>124</v>
      </c>
      <c r="C85" s="978"/>
      <c r="D85" s="978"/>
      <c r="E85" s="978"/>
      <c r="F85" s="747">
        <f>ROUND((((1/30)/12)*5)*0.5,4)*0</f>
        <v>0</v>
      </c>
      <c r="G85" s="281">
        <f t="shared" si="3"/>
        <v>0</v>
      </c>
      <c r="H85" s="4"/>
    </row>
    <row r="86" spans="1:8" x14ac:dyDescent="0.2">
      <c r="A86" s="1155" t="s">
        <v>75</v>
      </c>
      <c r="B86" s="1150"/>
      <c r="C86" s="1150"/>
      <c r="D86" s="1150"/>
      <c r="E86" s="1150"/>
      <c r="F86" s="644">
        <f>SUM(F80:F85)</f>
        <v>0</v>
      </c>
      <c r="G86" s="645">
        <f>SUM(G80:G85)</f>
        <v>0</v>
      </c>
      <c r="H86" s="4">
        <f>ROUND(G34*F86,2)</f>
        <v>0</v>
      </c>
    </row>
    <row r="87" spans="1:8" s="21" customFormat="1" x14ac:dyDescent="0.2">
      <c r="A87" s="1168" t="s">
        <v>76</v>
      </c>
      <c r="B87" s="1169"/>
      <c r="C87" s="1169"/>
      <c r="D87" s="1169"/>
      <c r="E87" s="1169"/>
      <c r="F87" s="1169"/>
      <c r="G87" s="1170"/>
      <c r="H87" s="4"/>
    </row>
    <row r="88" spans="1:8" x14ac:dyDescent="0.2">
      <c r="A88" s="657" t="s">
        <v>28</v>
      </c>
      <c r="B88" s="1144" t="s">
        <v>77</v>
      </c>
      <c r="C88" s="943"/>
      <c r="D88" s="943"/>
      <c r="E88" s="943"/>
      <c r="F88" s="741">
        <f xml:space="preserve"> ROUND((((ROUND((1/11)+(1/11)/3, 3))*4)/12)*1%,4)*0</f>
        <v>0</v>
      </c>
      <c r="G88" s="658">
        <f>ROUND(G$34*F88,2)</f>
        <v>0</v>
      </c>
      <c r="H88" s="4"/>
    </row>
    <row r="89" spans="1:8" x14ac:dyDescent="0.2">
      <c r="A89" s="434" t="s">
        <v>29</v>
      </c>
      <c r="B89" s="967" t="s">
        <v>78</v>
      </c>
      <c r="C89" s="920"/>
      <c r="D89" s="920"/>
      <c r="E89" s="920"/>
      <c r="F89" s="283">
        <f>ROUND(F88*F51,4)</f>
        <v>0</v>
      </c>
      <c r="G89" s="280">
        <f>ROUND(G$34*F89,2)</f>
        <v>0</v>
      </c>
      <c r="H89" s="4"/>
    </row>
    <row r="90" spans="1:8" x14ac:dyDescent="0.2">
      <c r="A90" s="434" t="s">
        <v>30</v>
      </c>
      <c r="B90" s="967" t="s">
        <v>79</v>
      </c>
      <c r="C90" s="920"/>
      <c r="D90" s="920"/>
      <c r="E90" s="920"/>
      <c r="F90" s="743">
        <f>ROUND(ROUND(ROUND(((1+1/12)*4)/12,4)*1%,4)*F51,4)*0</f>
        <v>0</v>
      </c>
      <c r="G90" s="280">
        <f>ROUND(G$34*F90,2)</f>
        <v>0</v>
      </c>
      <c r="H90" s="4"/>
    </row>
    <row r="91" spans="1:8" x14ac:dyDescent="0.2">
      <c r="A91" s="434" t="s">
        <v>31</v>
      </c>
      <c r="B91" s="967" t="s">
        <v>59</v>
      </c>
      <c r="C91" s="920"/>
      <c r="D91" s="920"/>
      <c r="E91" s="920"/>
      <c r="F91" s="283">
        <v>0</v>
      </c>
      <c r="G91" s="281">
        <f>ROUND(G$34*F91,2)</f>
        <v>0</v>
      </c>
      <c r="H91" s="4"/>
    </row>
    <row r="92" spans="1:8" x14ac:dyDescent="0.2">
      <c r="A92" s="1160" t="s">
        <v>80</v>
      </c>
      <c r="B92" s="1126"/>
      <c r="C92" s="1126"/>
      <c r="D92" s="1126"/>
      <c r="E92" s="1126"/>
      <c r="F92" s="659">
        <f>SUM(F88:F91)</f>
        <v>0</v>
      </c>
      <c r="G92" s="660">
        <f>SUM(G88:G91)</f>
        <v>0</v>
      </c>
      <c r="H92" s="4">
        <f>ROUND(G34*F92,2)</f>
        <v>0</v>
      </c>
    </row>
    <row r="93" spans="1:8" s="21" customFormat="1" x14ac:dyDescent="0.2">
      <c r="A93" s="1168" t="s">
        <v>81</v>
      </c>
      <c r="B93" s="1169"/>
      <c r="C93" s="1169"/>
      <c r="D93" s="1169"/>
      <c r="E93" s="1169"/>
      <c r="F93" s="1169"/>
      <c r="G93" s="1170"/>
      <c r="H93" s="4"/>
    </row>
    <row r="94" spans="1:8" x14ac:dyDescent="0.2">
      <c r="A94" s="753" t="s">
        <v>28</v>
      </c>
      <c r="B94" s="1156" t="s">
        <v>82</v>
      </c>
      <c r="C94" s="974"/>
      <c r="D94" s="974"/>
      <c r="E94" s="974"/>
      <c r="F94" s="754">
        <f>((1/220)*22)*0</f>
        <v>0</v>
      </c>
      <c r="G94" s="755">
        <f>ROUND(G$34*F94,2)</f>
        <v>0</v>
      </c>
      <c r="H94" s="4"/>
    </row>
    <row r="95" spans="1:8" x14ac:dyDescent="0.2">
      <c r="A95" s="753" t="s">
        <v>29</v>
      </c>
      <c r="B95" s="1157" t="s">
        <v>191</v>
      </c>
      <c r="C95" s="1158"/>
      <c r="D95" s="1158"/>
      <c r="E95" s="1159"/>
      <c r="F95" s="756">
        <f>F94*F51</f>
        <v>0</v>
      </c>
      <c r="G95" s="755">
        <f>ROUND(G$34*F95,2)</f>
        <v>0</v>
      </c>
      <c r="H95" s="4"/>
    </row>
    <row r="96" spans="1:8" x14ac:dyDescent="0.2">
      <c r="A96" s="1160" t="s">
        <v>83</v>
      </c>
      <c r="B96" s="1126"/>
      <c r="C96" s="1126"/>
      <c r="D96" s="1126"/>
      <c r="E96" s="1126"/>
      <c r="F96" s="659">
        <f>SUM(F94:F95)</f>
        <v>0</v>
      </c>
      <c r="G96" s="660">
        <f>SUM(G94:G94)</f>
        <v>0</v>
      </c>
      <c r="H96" s="4">
        <f>ROUND(G34*F96,2)</f>
        <v>0</v>
      </c>
    </row>
    <row r="97" spans="1:9" s="46" customFormat="1" x14ac:dyDescent="0.2">
      <c r="A97" s="1161" t="s">
        <v>125</v>
      </c>
      <c r="B97" s="1162"/>
      <c r="C97" s="1162"/>
      <c r="D97" s="1162"/>
      <c r="E97" s="1162"/>
      <c r="F97" s="1162"/>
      <c r="G97" s="1163"/>
      <c r="H97" s="36"/>
    </row>
    <row r="98" spans="1:9" s="35" customFormat="1" x14ac:dyDescent="0.2">
      <c r="A98" s="646" t="s">
        <v>28</v>
      </c>
      <c r="B98" s="1164" t="s">
        <v>126</v>
      </c>
      <c r="C98" s="960"/>
      <c r="D98" s="960"/>
      <c r="E98" s="960"/>
      <c r="F98" s="761">
        <f>((((8*13)/12)/220)+((((8*13)/12)/220)*100%))*0</f>
        <v>0</v>
      </c>
      <c r="G98" s="658">
        <f>ROUND(G$34*F98,2)</f>
        <v>0</v>
      </c>
      <c r="H98" s="36"/>
    </row>
    <row r="99" spans="1:9" s="35" customFormat="1" x14ac:dyDescent="0.2">
      <c r="A99" s="646" t="s">
        <v>29</v>
      </c>
      <c r="B99" s="1165" t="s">
        <v>191</v>
      </c>
      <c r="C99" s="1166"/>
      <c r="D99" s="1166"/>
      <c r="E99" s="1167"/>
      <c r="F99" s="661">
        <f>F98*F51</f>
        <v>0</v>
      </c>
      <c r="G99" s="658">
        <f>ROUND(G$34*F99,2)</f>
        <v>0</v>
      </c>
      <c r="H99" s="36"/>
    </row>
    <row r="100" spans="1:9" s="35" customFormat="1" x14ac:dyDescent="0.2">
      <c r="A100" s="1155" t="s">
        <v>127</v>
      </c>
      <c r="B100" s="1150"/>
      <c r="C100" s="1150"/>
      <c r="D100" s="1150"/>
      <c r="E100" s="1150"/>
      <c r="F100" s="644">
        <f>SUM(F98:F99)</f>
        <v>0</v>
      </c>
      <c r="G100" s="645">
        <f>SUM(G98:G98)</f>
        <v>0</v>
      </c>
      <c r="H100" s="36">
        <f>ROUND(G44*F100,2)</f>
        <v>0</v>
      </c>
    </row>
    <row r="101" spans="1:9" x14ac:dyDescent="0.2">
      <c r="A101" s="1138" t="s">
        <v>84</v>
      </c>
      <c r="B101" s="1139"/>
      <c r="C101" s="1139"/>
      <c r="D101" s="1139"/>
      <c r="E101" s="1139"/>
      <c r="F101" s="1140"/>
      <c r="G101" s="1141"/>
      <c r="H101" s="4"/>
    </row>
    <row r="102" spans="1:9" x14ac:dyDescent="0.2">
      <c r="A102" s="652" t="s">
        <v>85</v>
      </c>
      <c r="B102" s="1142" t="s">
        <v>129</v>
      </c>
      <c r="C102" s="953"/>
      <c r="D102" s="953"/>
      <c r="E102" s="953"/>
      <c r="F102" s="653">
        <f>F86</f>
        <v>0</v>
      </c>
      <c r="G102" s="654">
        <f>G86</f>
        <v>0</v>
      </c>
      <c r="H102" s="4"/>
    </row>
    <row r="103" spans="1:9" x14ac:dyDescent="0.2">
      <c r="A103" s="655" t="s">
        <v>86</v>
      </c>
      <c r="B103" s="1132" t="s">
        <v>87</v>
      </c>
      <c r="C103" s="928"/>
      <c r="D103" s="928"/>
      <c r="E103" s="928"/>
      <c r="F103" s="18">
        <f>F92</f>
        <v>0</v>
      </c>
      <c r="G103" s="279">
        <f>G92</f>
        <v>0</v>
      </c>
      <c r="H103" s="4"/>
    </row>
    <row r="104" spans="1:9" x14ac:dyDescent="0.2">
      <c r="A104" s="655" t="s">
        <v>88</v>
      </c>
      <c r="B104" s="1132" t="s">
        <v>89</v>
      </c>
      <c r="C104" s="928"/>
      <c r="D104" s="928"/>
      <c r="E104" s="928"/>
      <c r="F104" s="18">
        <f>F96</f>
        <v>0</v>
      </c>
      <c r="G104" s="279">
        <f>G96</f>
        <v>0</v>
      </c>
      <c r="H104" s="4"/>
    </row>
    <row r="105" spans="1:9" x14ac:dyDescent="0.2">
      <c r="A105" s="655" t="s">
        <v>131</v>
      </c>
      <c r="B105" s="1134" t="s">
        <v>402</v>
      </c>
      <c r="C105" s="934"/>
      <c r="D105" s="934"/>
      <c r="E105" s="934"/>
      <c r="F105" s="18">
        <f>F100</f>
        <v>0</v>
      </c>
      <c r="G105" s="279">
        <f>G100</f>
        <v>0</v>
      </c>
      <c r="H105" s="4"/>
    </row>
    <row r="106" spans="1:9" x14ac:dyDescent="0.2">
      <c r="A106" s="1124" t="s">
        <v>90</v>
      </c>
      <c r="B106" s="1125"/>
      <c r="C106" s="1125"/>
      <c r="D106" s="1125"/>
      <c r="E106" s="1125"/>
      <c r="F106" s="1126"/>
      <c r="G106" s="635">
        <f>SUM(G102:G105)</f>
        <v>0</v>
      </c>
      <c r="H106" s="4"/>
      <c r="I106" s="284">
        <f>SUM(F100,F96,F92,F86,F77,F65,F66)</f>
        <v>0.61140000000000005</v>
      </c>
    </row>
    <row r="107" spans="1:9" x14ac:dyDescent="0.2">
      <c r="A107" s="1138" t="s">
        <v>91</v>
      </c>
      <c r="B107" s="1139"/>
      <c r="C107" s="1139"/>
      <c r="D107" s="1139"/>
      <c r="E107" s="1139"/>
      <c r="F107" s="1140"/>
      <c r="G107" s="1141"/>
      <c r="H107" s="4"/>
    </row>
    <row r="108" spans="1:9" x14ac:dyDescent="0.2">
      <c r="A108" s="657" t="s">
        <v>28</v>
      </c>
      <c r="B108" s="1151" t="s">
        <v>381</v>
      </c>
      <c r="C108" s="1152"/>
      <c r="D108" s="1152"/>
      <c r="E108" s="592">
        <v>154</v>
      </c>
      <c r="F108" s="662">
        <v>1</v>
      </c>
      <c r="G108" s="270">
        <f>ROUND((E108*F108),2)</f>
        <v>154</v>
      </c>
      <c r="H108" s="4"/>
    </row>
    <row r="109" spans="1:9" s="35" customFormat="1" x14ac:dyDescent="0.2">
      <c r="A109" s="636" t="s">
        <v>29</v>
      </c>
      <c r="B109" s="1153" t="s">
        <v>230</v>
      </c>
      <c r="C109" s="1154"/>
      <c r="D109" s="1154"/>
      <c r="E109" s="297">
        <v>48</v>
      </c>
      <c r="F109" s="47">
        <v>1</v>
      </c>
      <c r="G109" s="270">
        <f t="shared" ref="G109:G115" si="4">ROUND((E109*F109),2)</f>
        <v>48</v>
      </c>
      <c r="H109" s="36"/>
    </row>
    <row r="110" spans="1:9" s="35" customFormat="1" x14ac:dyDescent="0.2">
      <c r="A110" s="636" t="s">
        <v>30</v>
      </c>
      <c r="B110" s="967" t="s">
        <v>59</v>
      </c>
      <c r="C110" s="920"/>
      <c r="D110" s="920"/>
      <c r="E110" s="297">
        <v>0</v>
      </c>
      <c r="F110" s="48">
        <v>1</v>
      </c>
      <c r="G110" s="270">
        <f t="shared" si="4"/>
        <v>0</v>
      </c>
      <c r="H110" s="36"/>
    </row>
    <row r="111" spans="1:9" s="35" customFormat="1" x14ac:dyDescent="0.2">
      <c r="A111" s="636" t="s">
        <v>31</v>
      </c>
      <c r="B111" s="967" t="s">
        <v>59</v>
      </c>
      <c r="C111" s="920"/>
      <c r="D111" s="920"/>
      <c r="E111" s="297">
        <v>0</v>
      </c>
      <c r="F111" s="48">
        <v>1</v>
      </c>
      <c r="G111" s="270">
        <f t="shared" si="4"/>
        <v>0</v>
      </c>
      <c r="H111" s="36"/>
    </row>
    <row r="112" spans="1:9" s="35" customFormat="1" x14ac:dyDescent="0.2">
      <c r="A112" s="636" t="s">
        <v>32</v>
      </c>
      <c r="B112" s="967" t="s">
        <v>59</v>
      </c>
      <c r="C112" s="920"/>
      <c r="D112" s="920"/>
      <c r="E112" s="297">
        <v>0</v>
      </c>
      <c r="F112" s="48">
        <v>1</v>
      </c>
      <c r="G112" s="270">
        <f t="shared" si="4"/>
        <v>0</v>
      </c>
      <c r="H112" s="36"/>
    </row>
    <row r="113" spans="1:8" s="35" customFormat="1" x14ac:dyDescent="0.2">
      <c r="A113" s="636" t="s">
        <v>34</v>
      </c>
      <c r="B113" s="967" t="s">
        <v>59</v>
      </c>
      <c r="C113" s="920"/>
      <c r="D113" s="920"/>
      <c r="E113" s="297">
        <v>0</v>
      </c>
      <c r="F113" s="48">
        <v>1</v>
      </c>
      <c r="G113" s="270">
        <f>ROUND((E113*F113)/12,2)</f>
        <v>0</v>
      </c>
      <c r="H113" s="36"/>
    </row>
    <row r="114" spans="1:8" s="35" customFormat="1" x14ac:dyDescent="0.2">
      <c r="A114" s="636" t="s">
        <v>48</v>
      </c>
      <c r="B114" s="967" t="s">
        <v>59</v>
      </c>
      <c r="C114" s="920"/>
      <c r="D114" s="920"/>
      <c r="E114" s="297">
        <v>0</v>
      </c>
      <c r="F114" s="48">
        <v>1</v>
      </c>
      <c r="G114" s="270">
        <f t="shared" si="4"/>
        <v>0</v>
      </c>
      <c r="H114" s="36"/>
    </row>
    <row r="115" spans="1:8" s="35" customFormat="1" x14ac:dyDescent="0.2">
      <c r="A115" s="636" t="s">
        <v>48</v>
      </c>
      <c r="B115" s="1146" t="s">
        <v>59</v>
      </c>
      <c r="C115" s="1147"/>
      <c r="D115" s="1147"/>
      <c r="E115" s="297">
        <v>0</v>
      </c>
      <c r="F115" s="48">
        <v>1</v>
      </c>
      <c r="G115" s="270">
        <f t="shared" si="4"/>
        <v>0</v>
      </c>
      <c r="H115" s="36"/>
    </row>
    <row r="116" spans="1:8" s="35" customFormat="1" x14ac:dyDescent="0.2">
      <c r="A116" s="1148" t="s">
        <v>92</v>
      </c>
      <c r="B116" s="1149"/>
      <c r="C116" s="1149"/>
      <c r="D116" s="1149"/>
      <c r="E116" s="1149"/>
      <c r="F116" s="1150"/>
      <c r="G116" s="635">
        <f>SUM(G108:G115)</f>
        <v>202</v>
      </c>
      <c r="H116" s="36"/>
    </row>
    <row r="117" spans="1:8" x14ac:dyDescent="0.2">
      <c r="A117" s="1138" t="s">
        <v>93</v>
      </c>
      <c r="B117" s="1139"/>
      <c r="C117" s="1139"/>
      <c r="D117" s="1139"/>
      <c r="E117" s="1139"/>
      <c r="F117" s="1140"/>
      <c r="G117" s="1141"/>
      <c r="H117" s="4"/>
    </row>
    <row r="118" spans="1:8" s="21" customFormat="1" x14ac:dyDescent="0.2">
      <c r="A118" s="632">
        <v>3</v>
      </c>
      <c r="B118" s="19" t="s">
        <v>94</v>
      </c>
      <c r="C118" s="19"/>
      <c r="D118" s="19"/>
      <c r="E118" s="19"/>
      <c r="F118" s="19"/>
      <c r="G118" s="656"/>
      <c r="H118" s="4"/>
    </row>
    <row r="119" spans="1:8" x14ac:dyDescent="0.2">
      <c r="A119" s="657" t="s">
        <v>28</v>
      </c>
      <c r="B119" s="1144" t="s">
        <v>95</v>
      </c>
      <c r="C119" s="943"/>
      <c r="D119" s="943"/>
      <c r="E119" s="943"/>
      <c r="F119" s="764">
        <v>0</v>
      </c>
      <c r="G119" s="648">
        <f>ROUND(G135*F119,2)</f>
        <v>0</v>
      </c>
      <c r="H119" s="4"/>
    </row>
    <row r="120" spans="1:8" x14ac:dyDescent="0.2">
      <c r="A120" s="434" t="s">
        <v>29</v>
      </c>
      <c r="B120" s="967" t="s">
        <v>96</v>
      </c>
      <c r="C120" s="920"/>
      <c r="D120" s="920"/>
      <c r="E120" s="920"/>
      <c r="F120" s="765">
        <v>0</v>
      </c>
      <c r="G120" s="107">
        <f>ROUND(((G135+G119)*F120),2)</f>
        <v>0</v>
      </c>
      <c r="H120" s="4"/>
    </row>
    <row r="121" spans="1:8" x14ac:dyDescent="0.2">
      <c r="A121" s="434" t="s">
        <v>30</v>
      </c>
      <c r="B121" s="1145" t="s">
        <v>97</v>
      </c>
      <c r="C121" s="945"/>
      <c r="D121" s="945"/>
      <c r="E121" s="945"/>
      <c r="F121" s="283"/>
      <c r="G121" s="107"/>
      <c r="H121" s="4"/>
    </row>
    <row r="122" spans="1:8" x14ac:dyDescent="0.2">
      <c r="A122" s="434" t="s">
        <v>98</v>
      </c>
      <c r="B122" s="967" t="s">
        <v>99</v>
      </c>
      <c r="C122" s="920"/>
      <c r="D122" s="920"/>
      <c r="E122" s="920"/>
      <c r="F122" s="765">
        <v>0</v>
      </c>
      <c r="G122" s="107">
        <f ca="1">ROUND(G$139*F122,2)</f>
        <v>0</v>
      </c>
      <c r="H122" s="4"/>
    </row>
    <row r="123" spans="1:8" s="3" customFormat="1" x14ac:dyDescent="0.2">
      <c r="A123" s="434" t="s">
        <v>100</v>
      </c>
      <c r="B123" s="967" t="s">
        <v>101</v>
      </c>
      <c r="C123" s="920"/>
      <c r="D123" s="920"/>
      <c r="E123" s="920"/>
      <c r="F123" s="765">
        <v>0</v>
      </c>
      <c r="G123" s="107">
        <f ca="1">ROUND(G$139*F123,2)</f>
        <v>0</v>
      </c>
      <c r="H123" s="4"/>
    </row>
    <row r="124" spans="1:8" x14ac:dyDescent="0.2">
      <c r="A124" s="434" t="s">
        <v>102</v>
      </c>
      <c r="B124" s="967" t="s">
        <v>12</v>
      </c>
      <c r="C124" s="920"/>
      <c r="D124" s="920"/>
      <c r="E124" s="920"/>
      <c r="F124" s="285">
        <v>0.05</v>
      </c>
      <c r="G124" s="107">
        <f ca="1">ROUND(G$139*F124,2)</f>
        <v>237.57</v>
      </c>
      <c r="H124" s="4"/>
    </row>
    <row r="125" spans="1:8" x14ac:dyDescent="0.2">
      <c r="A125" s="434" t="s">
        <v>158</v>
      </c>
      <c r="B125" s="967" t="s">
        <v>59</v>
      </c>
      <c r="C125" s="920"/>
      <c r="D125" s="920"/>
      <c r="E125" s="1136"/>
      <c r="F125" s="285">
        <v>0</v>
      </c>
      <c r="G125" s="107">
        <f ca="1">ROUND(G$139*F125,2)</f>
        <v>0</v>
      </c>
      <c r="H125" s="4"/>
    </row>
    <row r="126" spans="1:8" x14ac:dyDescent="0.2">
      <c r="A126" s="434" t="s">
        <v>462</v>
      </c>
      <c r="B126" s="967" t="s">
        <v>59</v>
      </c>
      <c r="C126" s="920"/>
      <c r="D126" s="920"/>
      <c r="E126" s="1136"/>
      <c r="F126" s="285">
        <v>0</v>
      </c>
      <c r="G126" s="107">
        <f ca="1">ROUND(G$139*F126,2)</f>
        <v>0</v>
      </c>
      <c r="H126" s="4"/>
    </row>
    <row r="127" spans="1:8" x14ac:dyDescent="0.2">
      <c r="A127" s="434"/>
      <c r="B127" s="1137" t="s">
        <v>103</v>
      </c>
      <c r="C127" s="947"/>
      <c r="D127" s="947"/>
      <c r="E127" s="947"/>
      <c r="F127" s="286">
        <f>SUM(F122:F126)</f>
        <v>0.05</v>
      </c>
      <c r="G127" s="287">
        <f ca="1">SUM(G122:G126)</f>
        <v>237.57</v>
      </c>
      <c r="H127" s="4">
        <f ca="1">ROUND(G139*F127,2)</f>
        <v>237.57</v>
      </c>
    </row>
    <row r="128" spans="1:8" x14ac:dyDescent="0.2">
      <c r="A128" s="1124" t="s">
        <v>104</v>
      </c>
      <c r="B128" s="1125"/>
      <c r="C128" s="1125"/>
      <c r="D128" s="1125"/>
      <c r="E128" s="1125"/>
      <c r="F128" s="288">
        <f>SUM(F119,F120,F127)</f>
        <v>0.05</v>
      </c>
      <c r="G128" s="282">
        <f ca="1">SUM(G119:G126)</f>
        <v>237.57</v>
      </c>
      <c r="H128" s="4"/>
    </row>
    <row r="129" spans="1:8" x14ac:dyDescent="0.2">
      <c r="A129" s="1138" t="s">
        <v>105</v>
      </c>
      <c r="B129" s="1139"/>
      <c r="C129" s="1139"/>
      <c r="D129" s="1139"/>
      <c r="E129" s="1139"/>
      <c r="F129" s="1140"/>
      <c r="G129" s="1141"/>
      <c r="H129" s="4"/>
    </row>
    <row r="130" spans="1:8" x14ac:dyDescent="0.2">
      <c r="A130" s="652" t="s">
        <v>28</v>
      </c>
      <c r="B130" s="1142" t="s">
        <v>106</v>
      </c>
      <c r="C130" s="953"/>
      <c r="D130" s="953"/>
      <c r="E130" s="953"/>
      <c r="F130" s="1143"/>
      <c r="G130" s="654">
        <f>G34</f>
        <v>2070.1799999999998</v>
      </c>
      <c r="H130" s="4"/>
    </row>
    <row r="131" spans="1:8" x14ac:dyDescent="0.2">
      <c r="A131" s="655" t="s">
        <v>29</v>
      </c>
      <c r="B131" s="1132" t="s">
        <v>107</v>
      </c>
      <c r="C131" s="928"/>
      <c r="D131" s="928"/>
      <c r="E131" s="928"/>
      <c r="F131" s="929"/>
      <c r="G131" s="279">
        <f>G68</f>
        <v>2241.62</v>
      </c>
      <c r="H131" s="4"/>
    </row>
    <row r="132" spans="1:8" x14ac:dyDescent="0.2">
      <c r="A132" s="655" t="s">
        <v>30</v>
      </c>
      <c r="B132" s="1132" t="s">
        <v>108</v>
      </c>
      <c r="C132" s="928"/>
      <c r="D132" s="928"/>
      <c r="E132" s="928"/>
      <c r="F132" s="929"/>
      <c r="G132" s="279">
        <f>G77</f>
        <v>0</v>
      </c>
      <c r="H132" s="4"/>
    </row>
    <row r="133" spans="1:8" x14ac:dyDescent="0.2">
      <c r="A133" s="655" t="s">
        <v>31</v>
      </c>
      <c r="B133" s="1132" t="s">
        <v>109</v>
      </c>
      <c r="C133" s="928"/>
      <c r="D133" s="928"/>
      <c r="E133" s="928"/>
      <c r="F133" s="929"/>
      <c r="G133" s="279">
        <f>G106</f>
        <v>0</v>
      </c>
      <c r="H133" s="4"/>
    </row>
    <row r="134" spans="1:8" x14ac:dyDescent="0.2">
      <c r="A134" s="655" t="s">
        <v>32</v>
      </c>
      <c r="B134" s="1132" t="s">
        <v>110</v>
      </c>
      <c r="C134" s="928"/>
      <c r="D134" s="928"/>
      <c r="E134" s="928"/>
      <c r="F134" s="929"/>
      <c r="G134" s="279">
        <f>G116</f>
        <v>202</v>
      </c>
      <c r="H134" s="4"/>
    </row>
    <row r="135" spans="1:8" x14ac:dyDescent="0.2">
      <c r="A135" s="655"/>
      <c r="B135" s="1133" t="s">
        <v>111</v>
      </c>
      <c r="C135" s="931"/>
      <c r="D135" s="931"/>
      <c r="E135" s="931"/>
      <c r="F135" s="932"/>
      <c r="G135" s="279">
        <f>SUM(G130:G134)</f>
        <v>4513.8</v>
      </c>
      <c r="H135" s="4"/>
    </row>
    <row r="136" spans="1:8" x14ac:dyDescent="0.2">
      <c r="A136" s="655" t="s">
        <v>34</v>
      </c>
      <c r="B136" s="1134" t="s">
        <v>112</v>
      </c>
      <c r="C136" s="934"/>
      <c r="D136" s="934"/>
      <c r="E136" s="934"/>
      <c r="F136" s="1135"/>
      <c r="G136" s="279">
        <f ca="1">G128</f>
        <v>237.57</v>
      </c>
      <c r="H136" s="4"/>
    </row>
    <row r="137" spans="1:8" x14ac:dyDescent="0.2">
      <c r="A137" s="1124" t="s">
        <v>113</v>
      </c>
      <c r="B137" s="1125"/>
      <c r="C137" s="1125"/>
      <c r="D137" s="1125"/>
      <c r="E137" s="1125"/>
      <c r="F137" s="1126"/>
      <c r="G137" s="635">
        <f ca="1">SUM(G135:G136)</f>
        <v>4751.37</v>
      </c>
      <c r="H137" s="4">
        <f ca="1">SUM(G130:G136)-G135</f>
        <v>4751.37</v>
      </c>
    </row>
    <row r="138" spans="1:8" x14ac:dyDescent="0.2">
      <c r="A138" s="1127" t="s">
        <v>13</v>
      </c>
      <c r="B138" s="1128"/>
      <c r="C138" s="1128"/>
      <c r="D138" s="1128"/>
      <c r="E138" s="1128"/>
      <c r="F138" s="1128"/>
      <c r="G138" s="1129"/>
      <c r="H138" s="4"/>
    </row>
    <row r="139" spans="1:8" x14ac:dyDescent="0.2">
      <c r="A139" s="663"/>
      <c r="B139" s="26" t="s">
        <v>114</v>
      </c>
      <c r="C139" s="26"/>
      <c r="D139" s="26"/>
      <c r="E139" s="26"/>
      <c r="F139" s="664"/>
      <c r="G139" s="665">
        <f ca="1">G137</f>
        <v>4751.37</v>
      </c>
      <c r="H139" s="4"/>
    </row>
    <row r="140" spans="1:8" x14ac:dyDescent="0.2">
      <c r="A140" s="666"/>
      <c r="B140" s="29" t="s">
        <v>115</v>
      </c>
      <c r="C140" s="29"/>
      <c r="D140" s="29"/>
      <c r="E140" s="29"/>
      <c r="F140" s="30">
        <f>F21</f>
        <v>1</v>
      </c>
      <c r="G140" s="289">
        <f ca="1">G139*F140</f>
        <v>4751.37</v>
      </c>
      <c r="H140" s="4"/>
    </row>
    <row r="141" spans="1:8" x14ac:dyDescent="0.2">
      <c r="A141" s="401"/>
      <c r="B141" s="290" t="s">
        <v>116</v>
      </c>
      <c r="C141" s="290"/>
      <c r="D141" s="290"/>
      <c r="E141" s="290"/>
      <c r="F141" s="291"/>
      <c r="G141" s="292">
        <f>F21*F22</f>
        <v>1</v>
      </c>
      <c r="H141" s="4"/>
    </row>
    <row r="142" spans="1:8" s="32" customFormat="1" x14ac:dyDescent="0.2">
      <c r="A142" s="667"/>
      <c r="B142" s="1130" t="s">
        <v>4</v>
      </c>
      <c r="C142" s="1130"/>
      <c r="D142" s="1130"/>
      <c r="E142" s="1130"/>
      <c r="F142" s="31">
        <f>F22</f>
        <v>1</v>
      </c>
      <c r="G142" s="293">
        <f ca="1">G140*F142</f>
        <v>4751.37</v>
      </c>
      <c r="H142" s="4"/>
    </row>
    <row r="143" spans="1:8" s="32" customFormat="1" ht="13.5" thickBot="1" x14ac:dyDescent="0.25">
      <c r="A143" s="668"/>
      <c r="B143" s="1131" t="s">
        <v>407</v>
      </c>
      <c r="C143" s="1131"/>
      <c r="D143" s="1131"/>
      <c r="E143" s="1131"/>
      <c r="F143" s="669">
        <v>12</v>
      </c>
      <c r="G143" s="670">
        <f ca="1">G142*F143</f>
        <v>57016.44</v>
      </c>
      <c r="H143" s="4"/>
    </row>
    <row r="144" spans="1:8" x14ac:dyDescent="0.2">
      <c r="F144" s="475"/>
    </row>
    <row r="151" spans="7:7" x14ac:dyDescent="0.2">
      <c r="G151" s="33"/>
    </row>
  </sheetData>
  <mergeCells count="151">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1022" t="s">
        <v>14</v>
      </c>
      <c r="B1" s="1022"/>
      <c r="C1" s="1022"/>
      <c r="D1" s="1022"/>
      <c r="E1" s="1022"/>
      <c r="F1" s="1022"/>
      <c r="G1" s="1022"/>
    </row>
    <row r="2" spans="1:8" ht="18.75" customHeight="1" x14ac:dyDescent="0.2">
      <c r="A2" s="1020" t="s">
        <v>425</v>
      </c>
      <c r="B2" s="1021"/>
      <c r="C2" s="1021"/>
      <c r="D2" s="2"/>
      <c r="E2" s="2"/>
      <c r="F2" s="1023" t="s">
        <v>477</v>
      </c>
      <c r="G2" s="1024"/>
    </row>
    <row r="3" spans="1:8" ht="18" customHeight="1" x14ac:dyDescent="0.2">
      <c r="A3" s="1025" t="s">
        <v>392</v>
      </c>
      <c r="B3" s="1026"/>
      <c r="C3" s="1026"/>
      <c r="D3" s="1026"/>
      <c r="E3" s="1026"/>
      <c r="F3" s="1026"/>
      <c r="G3" s="1027"/>
    </row>
    <row r="4" spans="1:8" ht="18" customHeight="1" thickBot="1" x14ac:dyDescent="0.25">
      <c r="A4" s="1028"/>
      <c r="B4" s="1029"/>
      <c r="C4" s="1029"/>
      <c r="D4" s="1029"/>
      <c r="E4" s="1029"/>
      <c r="F4" s="1029"/>
      <c r="G4" s="1030"/>
    </row>
    <row r="5" spans="1:8" ht="14.1" customHeight="1" x14ac:dyDescent="0.2">
      <c r="A5" s="1031" t="s">
        <v>5</v>
      </c>
      <c r="B5" s="1032"/>
      <c r="C5" s="1032"/>
      <c r="D5" s="1032"/>
      <c r="E5" s="1032"/>
      <c r="F5" s="1033"/>
      <c r="G5" s="1034"/>
    </row>
    <row r="6" spans="1:8" x14ac:dyDescent="0.2">
      <c r="A6" s="1005" t="s">
        <v>16</v>
      </c>
      <c r="B6" s="1006"/>
      <c r="C6" s="1006"/>
      <c r="D6" s="1006"/>
      <c r="E6" s="1007"/>
      <c r="F6" s="1035"/>
      <c r="G6" s="1036"/>
    </row>
    <row r="7" spans="1:8" ht="14.1" customHeight="1" x14ac:dyDescent="0.2">
      <c r="A7" s="1005" t="s">
        <v>11</v>
      </c>
      <c r="B7" s="1006"/>
      <c r="C7" s="1006"/>
      <c r="D7" s="1006"/>
      <c r="E7" s="1007"/>
      <c r="F7" s="1039" t="s">
        <v>496</v>
      </c>
      <c r="G7" s="1036"/>
    </row>
    <row r="8" spans="1:8" ht="19.5" customHeight="1" x14ac:dyDescent="0.2">
      <c r="A8" s="1040" t="s">
        <v>146</v>
      </c>
      <c r="B8" s="1041"/>
      <c r="C8" s="1041"/>
      <c r="D8" s="1041"/>
      <c r="E8" s="1041"/>
      <c r="F8" s="1041"/>
      <c r="G8" s="1042"/>
    </row>
    <row r="9" spans="1:8" ht="19.5" customHeight="1" x14ac:dyDescent="0.2">
      <c r="A9" s="1043"/>
      <c r="B9" s="1044"/>
      <c r="C9" s="1044"/>
      <c r="D9" s="1044"/>
      <c r="E9" s="1044"/>
      <c r="F9" s="1044"/>
      <c r="G9" s="1045"/>
    </row>
    <row r="10" spans="1:8" ht="14.1" customHeight="1" x14ac:dyDescent="0.2">
      <c r="A10" s="1000" t="s">
        <v>17</v>
      </c>
      <c r="B10" s="1001"/>
      <c r="C10" s="1001"/>
      <c r="D10" s="1001"/>
      <c r="E10" s="1002"/>
      <c r="F10" s="1037">
        <v>2025</v>
      </c>
      <c r="G10" s="1038"/>
    </row>
    <row r="11" spans="1:8" ht="14.1" customHeight="1" x14ac:dyDescent="0.2">
      <c r="A11" s="1000" t="s">
        <v>18</v>
      </c>
      <c r="B11" s="1001"/>
      <c r="C11" s="1001"/>
      <c r="D11" s="1001"/>
      <c r="E11" s="1002"/>
      <c r="F11" s="1037" t="s">
        <v>147</v>
      </c>
      <c r="G11" s="1038"/>
    </row>
    <row r="12" spans="1:8" ht="14.1" customHeight="1" x14ac:dyDescent="0.2">
      <c r="A12" s="1000" t="s">
        <v>19</v>
      </c>
      <c r="B12" s="1001"/>
      <c r="C12" s="1001"/>
      <c r="D12" s="1001"/>
      <c r="E12" s="1002"/>
      <c r="F12" s="1037" t="s">
        <v>20</v>
      </c>
      <c r="G12" s="1038"/>
    </row>
    <row r="13" spans="1:8" ht="14.1" customHeight="1" x14ac:dyDescent="0.2">
      <c r="A13" s="1000" t="s">
        <v>10</v>
      </c>
      <c r="B13" s="1001"/>
      <c r="C13" s="1001"/>
      <c r="D13" s="1001"/>
      <c r="E13" s="1002"/>
      <c r="F13" s="1037" t="s">
        <v>9</v>
      </c>
      <c r="G13" s="1038"/>
    </row>
    <row r="14" spans="1:8" ht="14.1" customHeight="1" x14ac:dyDescent="0.2">
      <c r="A14" s="948" t="s">
        <v>6</v>
      </c>
      <c r="B14" s="949"/>
      <c r="C14" s="949"/>
      <c r="D14" s="949"/>
      <c r="E14" s="949"/>
      <c r="F14" s="950"/>
      <c r="G14" s="951"/>
    </row>
    <row r="15" spans="1:8" ht="14.1" customHeight="1" x14ac:dyDescent="0.2">
      <c r="A15" s="1000" t="s">
        <v>7</v>
      </c>
      <c r="B15" s="1001"/>
      <c r="C15" s="1001"/>
      <c r="D15" s="1001"/>
      <c r="E15" s="1002"/>
      <c r="F15" s="1014">
        <v>1518</v>
      </c>
      <c r="G15" s="1015"/>
    </row>
    <row r="16" spans="1:8" ht="14.1" customHeight="1" x14ac:dyDescent="0.2">
      <c r="A16" s="1000" t="s">
        <v>0</v>
      </c>
      <c r="B16" s="1001"/>
      <c r="C16" s="1001"/>
      <c r="D16" s="1001"/>
      <c r="E16" s="1002"/>
      <c r="F16" s="1016" t="s">
        <v>471</v>
      </c>
      <c r="G16" s="1017"/>
      <c r="H16" s="3"/>
    </row>
    <row r="17" spans="1:8" ht="14.1" customHeight="1" x14ac:dyDescent="0.2">
      <c r="A17" s="1000" t="s">
        <v>21</v>
      </c>
      <c r="B17" s="1001"/>
      <c r="C17" s="1001"/>
      <c r="D17" s="1001"/>
      <c r="E17" s="1002"/>
      <c r="F17" s="1016" t="s">
        <v>416</v>
      </c>
      <c r="G17" s="1017"/>
      <c r="H17" s="3"/>
    </row>
    <row r="18" spans="1:8" ht="14.1" customHeight="1" x14ac:dyDescent="0.2">
      <c r="A18" s="1000" t="s">
        <v>1</v>
      </c>
      <c r="B18" s="1001"/>
      <c r="C18" s="1001"/>
      <c r="D18" s="1001"/>
      <c r="E18" s="1002"/>
      <c r="F18" s="1010">
        <v>2247.37</v>
      </c>
      <c r="G18" s="1011"/>
    </row>
    <row r="19" spans="1:8" ht="14.1" customHeight="1" x14ac:dyDescent="0.2">
      <c r="A19" s="1005" t="s">
        <v>8</v>
      </c>
      <c r="B19" s="1006"/>
      <c r="C19" s="1006"/>
      <c r="D19" s="1006"/>
      <c r="E19" s="1007"/>
      <c r="F19" s="1012">
        <v>45658</v>
      </c>
      <c r="G19" s="1013"/>
    </row>
    <row r="20" spans="1:8" ht="14.1" customHeight="1" x14ac:dyDescent="0.2">
      <c r="A20" s="1000" t="s">
        <v>22</v>
      </c>
      <c r="B20" s="1001"/>
      <c r="C20" s="1001"/>
      <c r="D20" s="1001"/>
      <c r="E20" s="1002"/>
      <c r="F20" s="1003" t="s">
        <v>140</v>
      </c>
      <c r="G20" s="1004"/>
    </row>
    <row r="21" spans="1:8" ht="14.1" customHeight="1" x14ac:dyDescent="0.2">
      <c r="A21" s="1005" t="s">
        <v>23</v>
      </c>
      <c r="B21" s="1006"/>
      <c r="C21" s="1006"/>
      <c r="D21" s="1006"/>
      <c r="E21" s="1007"/>
      <c r="F21" s="1008">
        <v>1</v>
      </c>
      <c r="G21" s="1009"/>
    </row>
    <row r="22" spans="1:8" ht="14.1" customHeight="1" x14ac:dyDescent="0.2">
      <c r="A22" s="1005" t="s">
        <v>24</v>
      </c>
      <c r="B22" s="1006"/>
      <c r="C22" s="1006"/>
      <c r="D22" s="1006"/>
      <c r="E22" s="1007"/>
      <c r="F22" s="1008">
        <v>1</v>
      </c>
      <c r="G22" s="1009"/>
    </row>
    <row r="23" spans="1:8" ht="12.75" customHeight="1" x14ac:dyDescent="0.2">
      <c r="A23" s="1005" t="s">
        <v>25</v>
      </c>
      <c r="B23" s="1006"/>
      <c r="C23" s="1006"/>
      <c r="D23" s="1006"/>
      <c r="E23" s="1007"/>
      <c r="F23" s="1018" t="s">
        <v>214</v>
      </c>
      <c r="G23" s="1019"/>
    </row>
    <row r="24" spans="1:8" ht="25.5" customHeight="1" x14ac:dyDescent="0.2">
      <c r="A24" s="1046" t="s">
        <v>470</v>
      </c>
      <c r="B24" s="1035"/>
      <c r="C24" s="1035"/>
      <c r="D24" s="1035"/>
      <c r="E24" s="1035"/>
      <c r="F24" s="1035"/>
      <c r="G24" s="1036"/>
    </row>
    <row r="25" spans="1:8" x14ac:dyDescent="0.2">
      <c r="A25" s="948" t="s">
        <v>2</v>
      </c>
      <c r="B25" s="949"/>
      <c r="C25" s="949"/>
      <c r="D25" s="949"/>
      <c r="E25" s="949"/>
      <c r="F25" s="950"/>
      <c r="G25" s="951"/>
    </row>
    <row r="26" spans="1:8" x14ac:dyDescent="0.2">
      <c r="A26" s="99">
        <v>1</v>
      </c>
      <c r="B26" s="999" t="s">
        <v>26</v>
      </c>
      <c r="C26" s="999"/>
      <c r="D26" s="999"/>
      <c r="E26" s="999"/>
      <c r="F26" s="471" t="s">
        <v>27</v>
      </c>
      <c r="G26" s="100" t="s">
        <v>3</v>
      </c>
    </row>
    <row r="27" spans="1:8" s="35" customFormat="1" x14ac:dyDescent="0.2">
      <c r="A27" s="101" t="s">
        <v>28</v>
      </c>
      <c r="B27" s="995" t="s">
        <v>153</v>
      </c>
      <c r="C27" s="995"/>
      <c r="D27" s="995"/>
      <c r="E27" s="995"/>
      <c r="F27" s="102">
        <v>1</v>
      </c>
      <c r="G27" s="103">
        <f>F18*F27</f>
        <v>2247.37</v>
      </c>
      <c r="H27" s="56"/>
    </row>
    <row r="28" spans="1:8" s="35" customFormat="1" x14ac:dyDescent="0.2">
      <c r="A28" s="101" t="s">
        <v>29</v>
      </c>
      <c r="B28" s="993" t="s">
        <v>117</v>
      </c>
      <c r="C28" s="993"/>
      <c r="D28" s="993"/>
      <c r="E28" s="993"/>
      <c r="F28" s="104"/>
      <c r="G28" s="103">
        <f>ROUND(F18*F28,2)</f>
        <v>0</v>
      </c>
      <c r="H28" s="56"/>
    </row>
    <row r="29" spans="1:8" s="35" customFormat="1" x14ac:dyDescent="0.2">
      <c r="A29" s="101" t="s">
        <v>30</v>
      </c>
      <c r="B29" s="993" t="s">
        <v>15</v>
      </c>
      <c r="C29" s="993"/>
      <c r="D29" s="993"/>
      <c r="E29" s="993"/>
      <c r="F29" s="104">
        <v>0.4</v>
      </c>
      <c r="G29" s="103">
        <f>ROUND(F15*F29,2)</f>
        <v>607.20000000000005</v>
      </c>
      <c r="H29" s="56"/>
    </row>
    <row r="30" spans="1:8" s="35" customFormat="1" x14ac:dyDescent="0.2">
      <c r="A30" s="101" t="s">
        <v>31</v>
      </c>
      <c r="B30" s="993" t="s">
        <v>154</v>
      </c>
      <c r="C30" s="993"/>
      <c r="D30" s="993"/>
      <c r="E30" s="993"/>
      <c r="F30" s="104"/>
      <c r="G30" s="103">
        <f>ROUND(F18*F30,2)</f>
        <v>0</v>
      </c>
      <c r="H30" s="56"/>
    </row>
    <row r="31" spans="1:8" s="35" customFormat="1" x14ac:dyDescent="0.2">
      <c r="A31" s="101" t="s">
        <v>32</v>
      </c>
      <c r="B31" s="993" t="s">
        <v>33</v>
      </c>
      <c r="C31" s="993"/>
      <c r="D31" s="993"/>
      <c r="E31" s="993"/>
      <c r="F31" s="102">
        <f>ROUND((ROUND((3*22),2)/52.5)*60,2)*0</f>
        <v>0</v>
      </c>
      <c r="G31" s="103">
        <f>ROUND((F18/192*0.2)*F31,2)</f>
        <v>0</v>
      </c>
      <c r="H31" s="56"/>
    </row>
    <row r="32" spans="1:8" s="35" customFormat="1" x14ac:dyDescent="0.2">
      <c r="A32" s="101" t="s">
        <v>34</v>
      </c>
      <c r="B32" s="993" t="s">
        <v>155</v>
      </c>
      <c r="C32" s="993"/>
      <c r="D32" s="993"/>
      <c r="E32" s="993"/>
      <c r="F32" s="102">
        <f>ROUND(SUM(F31)/25*5,2)</f>
        <v>0</v>
      </c>
      <c r="G32" s="103">
        <f>ROUND((F18/192*0.2)*F32,2)</f>
        <v>0</v>
      </c>
      <c r="H32" s="56"/>
    </row>
    <row r="33" spans="1:8" s="35" customFormat="1" x14ac:dyDescent="0.2">
      <c r="A33" s="101" t="s">
        <v>48</v>
      </c>
      <c r="B33" s="993" t="s">
        <v>156</v>
      </c>
      <c r="C33" s="993"/>
      <c r="D33" s="993"/>
      <c r="E33" s="993"/>
      <c r="F33" s="104"/>
      <c r="G33" s="103">
        <v>0</v>
      </c>
    </row>
    <row r="34" spans="1:8" x14ac:dyDescent="0.2">
      <c r="A34" s="955" t="s">
        <v>35</v>
      </c>
      <c r="B34" s="938"/>
      <c r="C34" s="938"/>
      <c r="D34" s="938"/>
      <c r="E34" s="938"/>
      <c r="F34" s="994"/>
      <c r="G34" s="105">
        <f>SUM(G27:G33)</f>
        <v>2854.57</v>
      </c>
    </row>
    <row r="35" spans="1:8" x14ac:dyDescent="0.2">
      <c r="A35" s="948" t="s">
        <v>36</v>
      </c>
      <c r="B35" s="949"/>
      <c r="C35" s="949"/>
      <c r="D35" s="949"/>
      <c r="E35" s="949"/>
      <c r="F35" s="950"/>
      <c r="G35" s="951"/>
    </row>
    <row r="36" spans="1:8" x14ac:dyDescent="0.2">
      <c r="A36" s="956" t="s">
        <v>37</v>
      </c>
      <c r="B36" s="957"/>
      <c r="C36" s="957"/>
      <c r="D36" s="957"/>
      <c r="E36" s="957"/>
      <c r="F36" s="957"/>
      <c r="G36" s="958"/>
      <c r="H36" s="4"/>
    </row>
    <row r="37" spans="1:8" s="7" customFormat="1" x14ac:dyDescent="0.2">
      <c r="A37" s="37" t="s">
        <v>28</v>
      </c>
      <c r="B37" s="959" t="s">
        <v>38</v>
      </c>
      <c r="C37" s="960"/>
      <c r="D37" s="960"/>
      <c r="E37" s="992"/>
      <c r="F37" s="106">
        <f>ROUND((1/12),6)</f>
        <v>8.3299999999999999E-2</v>
      </c>
      <c r="G37" s="107">
        <f>ROUND(G$34*F37,2)</f>
        <v>237.79</v>
      </c>
      <c r="H37" s="54"/>
    </row>
    <row r="38" spans="1:8" x14ac:dyDescent="0.2">
      <c r="A38" s="108" t="s">
        <v>29</v>
      </c>
      <c r="B38" s="977" t="s">
        <v>157</v>
      </c>
      <c r="C38" s="978"/>
      <c r="D38" s="978"/>
      <c r="E38" s="990"/>
      <c r="F38" s="109">
        <f>ROUND((1/11)+(1/11)/3, 3)</f>
        <v>0.121</v>
      </c>
      <c r="G38" s="8">
        <f>ROUND(G$34*F38,2)</f>
        <v>345.4</v>
      </c>
      <c r="H38" s="4"/>
    </row>
    <row r="39" spans="1:8" x14ac:dyDescent="0.2">
      <c r="A39" s="110"/>
      <c r="B39" s="991" t="s">
        <v>39</v>
      </c>
      <c r="C39" s="991"/>
      <c r="D39" s="991"/>
      <c r="E39" s="991"/>
      <c r="F39" s="38">
        <f>SUM(F37:F38)</f>
        <v>0.20430000000000001</v>
      </c>
      <c r="G39" s="107"/>
      <c r="H39" s="4"/>
    </row>
    <row r="40" spans="1:8" x14ac:dyDescent="0.2">
      <c r="A40" s="111" t="s">
        <v>30</v>
      </c>
      <c r="B40" s="39" t="s">
        <v>40</v>
      </c>
      <c r="C40" s="40"/>
      <c r="D40" s="40"/>
      <c r="E40" s="40"/>
      <c r="F40" s="41">
        <f>ROUND((F51*F39),4)</f>
        <v>6.9099999999999995E-2</v>
      </c>
      <c r="G40" s="9">
        <f>ROUND(G$34*F40,2)</f>
        <v>197.25</v>
      </c>
      <c r="H40" s="4"/>
    </row>
    <row r="41" spans="1:8" x14ac:dyDescent="0.2">
      <c r="A41" s="963" t="s">
        <v>41</v>
      </c>
      <c r="B41" s="964"/>
      <c r="C41" s="964"/>
      <c r="D41" s="964"/>
      <c r="E41" s="962"/>
      <c r="F41" s="42">
        <f>ROUND(SUM(F39:F40),4)</f>
        <v>0.27339999999999998</v>
      </c>
      <c r="G41" s="112">
        <f>SUM(G37:G40)</f>
        <v>780.44</v>
      </c>
      <c r="H41" s="4">
        <f>ROUND(G34*F41,2)</f>
        <v>780.44</v>
      </c>
    </row>
    <row r="42" spans="1:8" x14ac:dyDescent="0.2">
      <c r="A42" s="956" t="s">
        <v>118</v>
      </c>
      <c r="B42" s="957"/>
      <c r="C42" s="957"/>
      <c r="D42" s="957"/>
      <c r="E42" s="957"/>
      <c r="F42" s="957"/>
      <c r="G42" s="958"/>
      <c r="H42" s="4">
        <f>SUM(G41,G34)</f>
        <v>3635.01</v>
      </c>
    </row>
    <row r="43" spans="1:8" x14ac:dyDescent="0.2">
      <c r="A43" s="43" t="s">
        <v>28</v>
      </c>
      <c r="B43" s="959" t="s">
        <v>42</v>
      </c>
      <c r="C43" s="960"/>
      <c r="D43" s="960"/>
      <c r="E43" s="992"/>
      <c r="F43" s="44">
        <v>0.2</v>
      </c>
      <c r="G43" s="22">
        <f>ROUND((G$34)*F43,2)</f>
        <v>570.91</v>
      </c>
      <c r="H43" s="4"/>
    </row>
    <row r="44" spans="1:8" x14ac:dyDescent="0.2">
      <c r="A44" s="37" t="s">
        <v>29</v>
      </c>
      <c r="B44" s="975" t="s">
        <v>43</v>
      </c>
      <c r="C44" s="976"/>
      <c r="D44" s="976"/>
      <c r="E44" s="989"/>
      <c r="F44" s="106">
        <v>2.5000000000000001E-2</v>
      </c>
      <c r="G44" s="113">
        <f>ROUND((G$34)*F44,2)</f>
        <v>71.36</v>
      </c>
      <c r="H44" s="4"/>
    </row>
    <row r="45" spans="1:8" x14ac:dyDescent="0.2">
      <c r="A45" s="37" t="s">
        <v>30</v>
      </c>
      <c r="B45" s="975" t="s">
        <v>44</v>
      </c>
      <c r="C45" s="976"/>
      <c r="D45" s="976"/>
      <c r="E45" s="989"/>
      <c r="F45" s="736">
        <v>0</v>
      </c>
      <c r="G45" s="113">
        <f t="shared" ref="G45:G50" si="0">ROUND((G$34)*F45,2)</f>
        <v>0</v>
      </c>
      <c r="H45" s="4"/>
    </row>
    <row r="46" spans="1:8" x14ac:dyDescent="0.2">
      <c r="A46" s="37" t="s">
        <v>31</v>
      </c>
      <c r="B46" s="975" t="s">
        <v>45</v>
      </c>
      <c r="C46" s="976"/>
      <c r="D46" s="976"/>
      <c r="E46" s="989"/>
      <c r="F46" s="106">
        <v>1.4999999999999999E-2</v>
      </c>
      <c r="G46" s="113">
        <f t="shared" si="0"/>
        <v>42.82</v>
      </c>
      <c r="H46" s="4"/>
    </row>
    <row r="47" spans="1:8" x14ac:dyDescent="0.2">
      <c r="A47" s="37" t="s">
        <v>32</v>
      </c>
      <c r="B47" s="975" t="s">
        <v>46</v>
      </c>
      <c r="C47" s="976"/>
      <c r="D47" s="976"/>
      <c r="E47" s="989"/>
      <c r="F47" s="106">
        <v>0.01</v>
      </c>
      <c r="G47" s="113">
        <f t="shared" si="0"/>
        <v>28.55</v>
      </c>
      <c r="H47" s="4"/>
    </row>
    <row r="48" spans="1:8" x14ac:dyDescent="0.2">
      <c r="A48" s="37" t="s">
        <v>34</v>
      </c>
      <c r="B48" s="975" t="s">
        <v>47</v>
      </c>
      <c r="C48" s="976"/>
      <c r="D48" s="976"/>
      <c r="E48" s="989"/>
      <c r="F48" s="106">
        <v>6.0000000000000001E-3</v>
      </c>
      <c r="G48" s="113">
        <f t="shared" si="0"/>
        <v>17.13</v>
      </c>
      <c r="H48" s="4"/>
    </row>
    <row r="49" spans="1:8" x14ac:dyDescent="0.2">
      <c r="A49" s="37" t="s">
        <v>48</v>
      </c>
      <c r="B49" s="975" t="s">
        <v>49</v>
      </c>
      <c r="C49" s="976"/>
      <c r="D49" s="976"/>
      <c r="E49" s="989"/>
      <c r="F49" s="106">
        <v>2E-3</v>
      </c>
      <c r="G49" s="113">
        <f t="shared" si="0"/>
        <v>5.71</v>
      </c>
      <c r="H49" s="4"/>
    </row>
    <row r="50" spans="1:8" x14ac:dyDescent="0.2">
      <c r="A50" s="108" t="s">
        <v>50</v>
      </c>
      <c r="B50" s="977" t="s">
        <v>51</v>
      </c>
      <c r="C50" s="978"/>
      <c r="D50" s="978"/>
      <c r="E50" s="990"/>
      <c r="F50" s="109">
        <v>0.08</v>
      </c>
      <c r="G50" s="113">
        <f t="shared" si="0"/>
        <v>228.37</v>
      </c>
      <c r="H50" s="4"/>
    </row>
    <row r="51" spans="1:8" x14ac:dyDescent="0.2">
      <c r="A51" s="963" t="s">
        <v>52</v>
      </c>
      <c r="B51" s="964"/>
      <c r="C51" s="964"/>
      <c r="D51" s="964"/>
      <c r="E51" s="962"/>
      <c r="F51" s="42">
        <f>SUM(F43:F50)</f>
        <v>0.33800000000000002</v>
      </c>
      <c r="G51" s="112">
        <f>SUM(G43:G50)</f>
        <v>964.85</v>
      </c>
      <c r="H51" s="4">
        <f>ROUND(G34*F51,2)</f>
        <v>964.84</v>
      </c>
    </row>
    <row r="52" spans="1:8" x14ac:dyDescent="0.2">
      <c r="A52" s="956" t="s">
        <v>53</v>
      </c>
      <c r="B52" s="957"/>
      <c r="C52" s="957"/>
      <c r="D52" s="957"/>
      <c r="E52" s="957"/>
      <c r="F52" s="957"/>
      <c r="G52" s="958"/>
      <c r="H52" s="4"/>
    </row>
    <row r="53" spans="1:8" s="35" customFormat="1" x14ac:dyDescent="0.2">
      <c r="A53" s="43" t="s">
        <v>28</v>
      </c>
      <c r="B53" s="983" t="s">
        <v>54</v>
      </c>
      <c r="C53" s="984"/>
      <c r="D53" s="984"/>
      <c r="E53" s="738">
        <v>0</v>
      </c>
      <c r="F53" s="55">
        <v>42</v>
      </c>
      <c r="G53" s="14">
        <f>IF(ROUND((E53*F53)-(G27*0.06),2)&lt;0,0,ROUND((E53*F53)-(G27*0.06),2))</f>
        <v>0</v>
      </c>
      <c r="H53" s="36"/>
    </row>
    <row r="54" spans="1:8" s="35" customFormat="1" x14ac:dyDescent="0.2">
      <c r="A54" s="37" t="s">
        <v>55</v>
      </c>
      <c r="B54" s="981" t="s">
        <v>56</v>
      </c>
      <c r="C54" s="982"/>
      <c r="D54" s="982"/>
      <c r="E54" s="115">
        <f>20.76-1.39</f>
        <v>19.37</v>
      </c>
      <c r="F54" s="116">
        <v>21</v>
      </c>
      <c r="G54" s="103">
        <f>ROUND((E54*F54),2)</f>
        <v>406.77</v>
      </c>
      <c r="H54" s="36"/>
    </row>
    <row r="55" spans="1:8" s="35" customFormat="1" x14ac:dyDescent="0.2">
      <c r="A55" s="37" t="s">
        <v>57</v>
      </c>
      <c r="B55" s="981" t="s">
        <v>58</v>
      </c>
      <c r="C55" s="982"/>
      <c r="D55" s="982"/>
      <c r="E55" s="115">
        <v>144.68</v>
      </c>
      <c r="F55" s="116">
        <v>1</v>
      </c>
      <c r="G55" s="103">
        <f>ROUND((E55*F55),2)</f>
        <v>144.68</v>
      </c>
      <c r="H55" s="36"/>
    </row>
    <row r="56" spans="1:8" s="35" customFormat="1" x14ac:dyDescent="0.2">
      <c r="A56" s="37" t="s">
        <v>30</v>
      </c>
      <c r="B56" s="981" t="s">
        <v>149</v>
      </c>
      <c r="C56" s="982"/>
      <c r="D56" s="982"/>
      <c r="E56" s="115">
        <v>35.33</v>
      </c>
      <c r="F56" s="116">
        <v>1</v>
      </c>
      <c r="G56" s="103">
        <f>ROUND((E56*F56),2)</f>
        <v>35.33</v>
      </c>
      <c r="H56" s="36"/>
    </row>
    <row r="57" spans="1:8" s="35" customFormat="1" x14ac:dyDescent="0.2">
      <c r="A57" s="37" t="s">
        <v>31</v>
      </c>
      <c r="B57" s="981" t="s">
        <v>179</v>
      </c>
      <c r="C57" s="982"/>
      <c r="D57" s="982"/>
      <c r="E57" s="738">
        <f>ROUND((F18*30%)*5%,2)*0</f>
        <v>0</v>
      </c>
      <c r="F57" s="116">
        <v>1</v>
      </c>
      <c r="G57" s="103">
        <f>ROUND((E57*F57),2)</f>
        <v>0</v>
      </c>
      <c r="H57" s="36"/>
    </row>
    <row r="58" spans="1:8" s="35" customFormat="1" x14ac:dyDescent="0.2">
      <c r="A58" s="37" t="s">
        <v>32</v>
      </c>
      <c r="B58" s="981" t="s">
        <v>150</v>
      </c>
      <c r="C58" s="982"/>
      <c r="D58" s="982"/>
      <c r="E58" s="115">
        <f>20.76</f>
        <v>20.76</v>
      </c>
      <c r="F58" s="116">
        <v>1</v>
      </c>
      <c r="G58" s="103">
        <f>ROUND((E58*F58)/12,2)</f>
        <v>1.73</v>
      </c>
      <c r="H58" s="36"/>
    </row>
    <row r="59" spans="1:8" s="35" customFormat="1" x14ac:dyDescent="0.2">
      <c r="A59" s="37" t="s">
        <v>34</v>
      </c>
      <c r="B59" s="987" t="s">
        <v>180</v>
      </c>
      <c r="C59" s="988"/>
      <c r="D59" s="988"/>
      <c r="E59" s="115">
        <f>15.96</f>
        <v>15.96</v>
      </c>
      <c r="F59" s="117">
        <v>1</v>
      </c>
      <c r="G59" s="118">
        <f>ROUND((E59*F59),2)</f>
        <v>15.96</v>
      </c>
      <c r="H59" s="36"/>
    </row>
    <row r="60" spans="1:8" s="35" customFormat="1" x14ac:dyDescent="0.2">
      <c r="A60" s="37" t="s">
        <v>48</v>
      </c>
      <c r="B60" s="981" t="s">
        <v>254</v>
      </c>
      <c r="C60" s="982"/>
      <c r="D60" s="982"/>
      <c r="E60" s="115">
        <v>300</v>
      </c>
      <c r="F60" s="116">
        <v>1</v>
      </c>
      <c r="G60" s="103">
        <f>ROUND((E60*F60),2)</f>
        <v>300</v>
      </c>
      <c r="H60" s="36"/>
    </row>
    <row r="61" spans="1:8" s="35" customFormat="1" x14ac:dyDescent="0.2">
      <c r="A61" s="101" t="s">
        <v>50</v>
      </c>
      <c r="B61" s="981" t="s">
        <v>152</v>
      </c>
      <c r="C61" s="982"/>
      <c r="D61" s="982"/>
      <c r="E61" s="115">
        <v>0</v>
      </c>
      <c r="F61" s="116">
        <v>1</v>
      </c>
      <c r="G61" s="119">
        <f>ROUND((E61*F61),2)</f>
        <v>0</v>
      </c>
      <c r="H61" s="36"/>
    </row>
    <row r="62" spans="1:8" s="35" customFormat="1" x14ac:dyDescent="0.2">
      <c r="A62" s="37" t="s">
        <v>151</v>
      </c>
      <c r="B62" s="985" t="s">
        <v>152</v>
      </c>
      <c r="C62" s="986"/>
      <c r="D62" s="986"/>
      <c r="E62" s="120">
        <v>0</v>
      </c>
      <c r="F62" s="116">
        <v>1</v>
      </c>
      <c r="G62" s="103">
        <v>0</v>
      </c>
      <c r="H62" s="36"/>
    </row>
    <row r="63" spans="1:8" x14ac:dyDescent="0.2">
      <c r="A63" s="936" t="s">
        <v>60</v>
      </c>
      <c r="B63" s="937"/>
      <c r="C63" s="937"/>
      <c r="D63" s="937"/>
      <c r="E63" s="937"/>
      <c r="F63" s="938"/>
      <c r="G63" s="105">
        <f>SUM(G53:G62)</f>
        <v>904.47</v>
      </c>
      <c r="H63" s="4"/>
    </row>
    <row r="64" spans="1:8" x14ac:dyDescent="0.2">
      <c r="A64" s="948" t="s">
        <v>61</v>
      </c>
      <c r="B64" s="949"/>
      <c r="C64" s="949"/>
      <c r="D64" s="949"/>
      <c r="E64" s="949"/>
      <c r="F64" s="950"/>
      <c r="G64" s="951"/>
      <c r="H64" s="4"/>
    </row>
    <row r="65" spans="1:8" x14ac:dyDescent="0.2">
      <c r="A65" s="15" t="s">
        <v>62</v>
      </c>
      <c r="B65" s="952" t="s">
        <v>63</v>
      </c>
      <c r="C65" s="953"/>
      <c r="D65" s="953"/>
      <c r="E65" s="953"/>
      <c r="F65" s="16">
        <f>F41</f>
        <v>0.27339999999999998</v>
      </c>
      <c r="G65" s="17">
        <f>G41</f>
        <v>780.44</v>
      </c>
      <c r="H65" s="4"/>
    </row>
    <row r="66" spans="1:8" x14ac:dyDescent="0.2">
      <c r="A66" s="121" t="s">
        <v>64</v>
      </c>
      <c r="B66" s="927" t="s">
        <v>128</v>
      </c>
      <c r="C66" s="928"/>
      <c r="D66" s="928"/>
      <c r="E66" s="928"/>
      <c r="F66" s="18">
        <f>F51</f>
        <v>0.33800000000000002</v>
      </c>
      <c r="G66" s="122">
        <f>G51</f>
        <v>964.85</v>
      </c>
      <c r="H66" s="4"/>
    </row>
    <row r="67" spans="1:8" x14ac:dyDescent="0.2">
      <c r="A67" s="121" t="s">
        <v>65</v>
      </c>
      <c r="B67" s="927" t="s">
        <v>66</v>
      </c>
      <c r="C67" s="928"/>
      <c r="D67" s="928"/>
      <c r="E67" s="928"/>
      <c r="F67" s="929"/>
      <c r="G67" s="122">
        <f>G63</f>
        <v>904.47</v>
      </c>
      <c r="H67" s="4"/>
    </row>
    <row r="68" spans="1:8" x14ac:dyDescent="0.2">
      <c r="A68" s="936" t="s">
        <v>67</v>
      </c>
      <c r="B68" s="937"/>
      <c r="C68" s="937"/>
      <c r="D68" s="937"/>
      <c r="E68" s="937"/>
      <c r="F68" s="938"/>
      <c r="G68" s="105">
        <f>SUM(G65:G67)</f>
        <v>2649.76</v>
      </c>
      <c r="H68" s="4"/>
    </row>
    <row r="69" spans="1:8" x14ac:dyDescent="0.2">
      <c r="A69" s="948" t="s">
        <v>68</v>
      </c>
      <c r="B69" s="949"/>
      <c r="C69" s="949"/>
      <c r="D69" s="949"/>
      <c r="E69" s="949"/>
      <c r="F69" s="950"/>
      <c r="G69" s="951"/>
      <c r="H69" s="4"/>
    </row>
    <row r="70" spans="1:8" s="21" customFormat="1" x14ac:dyDescent="0.2">
      <c r="A70" s="99">
        <v>3</v>
      </c>
      <c r="B70" s="19" t="s">
        <v>69</v>
      </c>
      <c r="C70" s="19"/>
      <c r="D70" s="19"/>
      <c r="E70" s="19"/>
      <c r="F70" s="19"/>
      <c r="G70" s="20"/>
      <c r="H70" s="4"/>
    </row>
    <row r="71" spans="1:8" x14ac:dyDescent="0.2">
      <c r="A71" s="11" t="s">
        <v>28</v>
      </c>
      <c r="B71" s="942" t="s">
        <v>70</v>
      </c>
      <c r="C71" s="943"/>
      <c r="D71" s="943"/>
      <c r="E71" s="943"/>
      <c r="F71" s="740">
        <f>ROUND((1/12)*0.05,4)*0</f>
        <v>0</v>
      </c>
      <c r="G71" s="22">
        <f t="shared" ref="G71:G76" si="1">ROUND(G$34*F71,2)</f>
        <v>0</v>
      </c>
      <c r="H71" s="4"/>
    </row>
    <row r="72" spans="1:8" x14ac:dyDescent="0.2">
      <c r="A72" s="5" t="s">
        <v>29</v>
      </c>
      <c r="B72" s="919" t="s">
        <v>71</v>
      </c>
      <c r="C72" s="920"/>
      <c r="D72" s="920"/>
      <c r="E72" s="920"/>
      <c r="F72" s="123">
        <f>ROUND((F71*F50),4)</f>
        <v>0</v>
      </c>
      <c r="G72" s="113">
        <f t="shared" si="1"/>
        <v>0</v>
      </c>
      <c r="H72" s="4"/>
    </row>
    <row r="73" spans="1:8" x14ac:dyDescent="0.2">
      <c r="A73" s="5" t="s">
        <v>30</v>
      </c>
      <c r="B73" s="919" t="s">
        <v>134</v>
      </c>
      <c r="C73" s="920"/>
      <c r="D73" s="920"/>
      <c r="E73" s="920"/>
      <c r="F73" s="742">
        <f>ROUND((0.08*0.4*0.9)*(1+0.09+0.09+0.3),2)*0</f>
        <v>0</v>
      </c>
      <c r="G73" s="113">
        <f t="shared" si="1"/>
        <v>0</v>
      </c>
      <c r="H73" s="4"/>
    </row>
    <row r="74" spans="1:8" x14ac:dyDescent="0.2">
      <c r="A74" s="5" t="s">
        <v>31</v>
      </c>
      <c r="B74" s="919" t="s">
        <v>72</v>
      </c>
      <c r="C74" s="920"/>
      <c r="D74" s="920"/>
      <c r="E74" s="920"/>
      <c r="F74" s="742">
        <f>ROUND(100%/30*7/12*100%,4)*0</f>
        <v>0</v>
      </c>
      <c r="G74" s="113">
        <f t="shared" si="1"/>
        <v>0</v>
      </c>
      <c r="H74" s="4"/>
    </row>
    <row r="75" spans="1:8" s="3" customFormat="1" x14ac:dyDescent="0.2">
      <c r="A75" s="5" t="s">
        <v>32</v>
      </c>
      <c r="B75" s="919" t="s">
        <v>119</v>
      </c>
      <c r="C75" s="920"/>
      <c r="D75" s="920"/>
      <c r="E75" s="920"/>
      <c r="F75" s="123">
        <f>ROUND(F74*F51,4)</f>
        <v>0</v>
      </c>
      <c r="G75" s="113">
        <f t="shared" si="1"/>
        <v>0</v>
      </c>
      <c r="H75" s="4"/>
    </row>
    <row r="76" spans="1:8" x14ac:dyDescent="0.2">
      <c r="A76" s="5" t="s">
        <v>34</v>
      </c>
      <c r="B76" s="979" t="s">
        <v>135</v>
      </c>
      <c r="C76" s="980"/>
      <c r="D76" s="980"/>
      <c r="E76" s="980"/>
      <c r="F76" s="124">
        <v>0</v>
      </c>
      <c r="G76" s="125">
        <f t="shared" si="1"/>
        <v>0</v>
      </c>
      <c r="H76" s="4"/>
    </row>
    <row r="77" spans="1:8" x14ac:dyDescent="0.2">
      <c r="A77" s="936" t="s">
        <v>73</v>
      </c>
      <c r="B77" s="937"/>
      <c r="C77" s="937"/>
      <c r="D77" s="937"/>
      <c r="E77" s="937"/>
      <c r="F77" s="23">
        <f>SUM(F71:F76)</f>
        <v>0</v>
      </c>
      <c r="G77" s="126">
        <f>SUM(G71:G76)</f>
        <v>0</v>
      </c>
      <c r="H77" s="4">
        <f>ROUND(G34*F77,2)</f>
        <v>0</v>
      </c>
    </row>
    <row r="78" spans="1:8" x14ac:dyDescent="0.2">
      <c r="A78" s="948" t="s">
        <v>74</v>
      </c>
      <c r="B78" s="949"/>
      <c r="C78" s="949"/>
      <c r="D78" s="949"/>
      <c r="E78" s="949"/>
      <c r="F78" s="950"/>
      <c r="G78" s="951"/>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75" t="s">
        <v>121</v>
      </c>
      <c r="C81" s="976"/>
      <c r="D81" s="976"/>
      <c r="E81" s="976"/>
      <c r="F81" s="744">
        <f>ROUND(((1/30)/12)*1,4)*0</f>
        <v>0</v>
      </c>
      <c r="G81" s="113">
        <f t="shared" si="2"/>
        <v>0</v>
      </c>
      <c r="H81" s="4"/>
    </row>
    <row r="82" spans="1:8" x14ac:dyDescent="0.2">
      <c r="A82" s="37" t="s">
        <v>30</v>
      </c>
      <c r="B82" s="975" t="s">
        <v>122</v>
      </c>
      <c r="C82" s="976"/>
      <c r="D82" s="976"/>
      <c r="E82" s="976"/>
      <c r="F82" s="744">
        <f>ROUND((((1/30)/12)*5)*0.02,4)*0</f>
        <v>0</v>
      </c>
      <c r="G82" s="113">
        <f t="shared" si="2"/>
        <v>0</v>
      </c>
      <c r="H82" s="4"/>
    </row>
    <row r="83" spans="1:8" x14ac:dyDescent="0.2">
      <c r="A83" s="37" t="s">
        <v>31</v>
      </c>
      <c r="B83" s="975" t="s">
        <v>123</v>
      </c>
      <c r="C83" s="976"/>
      <c r="D83" s="976"/>
      <c r="E83" s="976"/>
      <c r="F83" s="744">
        <f>ROUND((((1/30)/12)*15)*0.05,4)*0</f>
        <v>0</v>
      </c>
      <c r="G83" s="113">
        <f t="shared" si="2"/>
        <v>0</v>
      </c>
      <c r="H83" s="4"/>
    </row>
    <row r="84" spans="1:8" x14ac:dyDescent="0.2">
      <c r="A84" s="37" t="s">
        <v>32</v>
      </c>
      <c r="B84" s="975" t="s">
        <v>182</v>
      </c>
      <c r="C84" s="976"/>
      <c r="D84" s="976"/>
      <c r="E84" s="976"/>
      <c r="F84" s="106">
        <v>0</v>
      </c>
      <c r="G84" s="113">
        <f t="shared" si="2"/>
        <v>0</v>
      </c>
      <c r="H84" s="4"/>
    </row>
    <row r="85" spans="1:8" x14ac:dyDescent="0.2">
      <c r="A85" s="37" t="s">
        <v>34</v>
      </c>
      <c r="B85" s="977" t="s">
        <v>124</v>
      </c>
      <c r="C85" s="978"/>
      <c r="D85" s="978"/>
      <c r="E85" s="978"/>
      <c r="F85" s="746">
        <f>ROUND((((1/30)/12)*5)*0.5,4)*0</f>
        <v>0</v>
      </c>
      <c r="G85" s="125">
        <f t="shared" si="2"/>
        <v>0</v>
      </c>
      <c r="H85" s="4"/>
    </row>
    <row r="86" spans="1:8" x14ac:dyDescent="0.2">
      <c r="A86" s="961" t="s">
        <v>75</v>
      </c>
      <c r="B86" s="962"/>
      <c r="C86" s="962"/>
      <c r="D86" s="962"/>
      <c r="E86" s="962"/>
      <c r="F86" s="42">
        <f>SUM(F80:F85)</f>
        <v>0</v>
      </c>
      <c r="G86" s="112">
        <f>SUM(G80:G85)</f>
        <v>0</v>
      </c>
      <c r="H86" s="4">
        <f>ROUND(G34*F86,2)</f>
        <v>0</v>
      </c>
    </row>
    <row r="87" spans="1:8" s="21" customFormat="1" x14ac:dyDescent="0.2">
      <c r="A87" s="970" t="s">
        <v>76</v>
      </c>
      <c r="B87" s="971"/>
      <c r="C87" s="971"/>
      <c r="D87" s="971"/>
      <c r="E87" s="971"/>
      <c r="F87" s="971"/>
      <c r="G87" s="972"/>
      <c r="H87" s="4"/>
    </row>
    <row r="88" spans="1:8" x14ac:dyDescent="0.2">
      <c r="A88" s="11" t="s">
        <v>28</v>
      </c>
      <c r="B88" s="942" t="s">
        <v>77</v>
      </c>
      <c r="C88" s="943"/>
      <c r="D88" s="943"/>
      <c r="E88" s="943"/>
      <c r="F88" s="748">
        <f xml:space="preserve"> ROUND((((ROUND((1/11)+(1/11)/3, 3))*4)/12)*1%,4)*0</f>
        <v>0</v>
      </c>
      <c r="G88" s="22">
        <f>ROUND(G$34*F88,2)</f>
        <v>0</v>
      </c>
      <c r="H88" s="4"/>
    </row>
    <row r="89" spans="1:8" x14ac:dyDescent="0.2">
      <c r="A89" s="5" t="s">
        <v>29</v>
      </c>
      <c r="B89" s="919" t="s">
        <v>78</v>
      </c>
      <c r="C89" s="920"/>
      <c r="D89" s="920"/>
      <c r="E89" s="920"/>
      <c r="F89" s="106">
        <f>ROUND(F88*F51,4)</f>
        <v>0</v>
      </c>
      <c r="G89" s="113">
        <f>ROUND(G$34*F89,2)</f>
        <v>0</v>
      </c>
      <c r="H89" s="4"/>
    </row>
    <row r="90" spans="1:8" x14ac:dyDescent="0.2">
      <c r="A90" s="5" t="s">
        <v>30</v>
      </c>
      <c r="B90" s="919" t="s">
        <v>79</v>
      </c>
      <c r="C90" s="920"/>
      <c r="D90" s="920"/>
      <c r="E90" s="920"/>
      <c r="F90" s="744">
        <f>ROUND(ROUND(ROUND(((1+1/12)*4)/12,4)*1%,4)*F51,4)*0</f>
        <v>0</v>
      </c>
      <c r="G90" s="113">
        <f>ROUND(G$34*F90,2)</f>
        <v>0</v>
      </c>
      <c r="H90" s="4"/>
    </row>
    <row r="91" spans="1:8" x14ac:dyDescent="0.2">
      <c r="A91" s="5" t="s">
        <v>31</v>
      </c>
      <c r="B91" s="919" t="s">
        <v>59</v>
      </c>
      <c r="C91" s="920"/>
      <c r="D91" s="920"/>
      <c r="E91" s="920"/>
      <c r="F91" s="106">
        <v>0</v>
      </c>
      <c r="G91" s="125">
        <f>ROUND(G$34*F91,2)</f>
        <v>0</v>
      </c>
      <c r="H91" s="4"/>
    </row>
    <row r="92" spans="1:8" x14ac:dyDescent="0.2">
      <c r="A92" s="955" t="s">
        <v>80</v>
      </c>
      <c r="B92" s="938"/>
      <c r="C92" s="938"/>
      <c r="D92" s="938"/>
      <c r="E92" s="938"/>
      <c r="F92" s="10">
        <f>SUM(F88:F91)</f>
        <v>0</v>
      </c>
      <c r="G92" s="127">
        <f>SUM(G88:G91)</f>
        <v>0</v>
      </c>
      <c r="H92" s="4">
        <f>ROUND(G34*F92,2)</f>
        <v>0</v>
      </c>
    </row>
    <row r="93" spans="1:8" s="21" customFormat="1" x14ac:dyDescent="0.2">
      <c r="A93" s="970" t="s">
        <v>81</v>
      </c>
      <c r="B93" s="971"/>
      <c r="C93" s="971"/>
      <c r="D93" s="971"/>
      <c r="E93" s="971"/>
      <c r="F93" s="971"/>
      <c r="G93" s="972"/>
      <c r="H93" s="4"/>
    </row>
    <row r="94" spans="1:8" x14ac:dyDescent="0.2">
      <c r="A94" s="749" t="s">
        <v>28</v>
      </c>
      <c r="B94" s="973" t="s">
        <v>82</v>
      </c>
      <c r="C94" s="974"/>
      <c r="D94" s="974"/>
      <c r="E94" s="974"/>
      <c r="F94" s="750">
        <f>((1/220)*22)*0</f>
        <v>0</v>
      </c>
      <c r="G94" s="751">
        <f>ROUND(G$34*F94,2)</f>
        <v>0</v>
      </c>
      <c r="H94" s="4"/>
    </row>
    <row r="95" spans="1:8" x14ac:dyDescent="0.2">
      <c r="A95" s="749" t="s">
        <v>29</v>
      </c>
      <c r="B95" s="921" t="s">
        <v>191</v>
      </c>
      <c r="C95" s="922"/>
      <c r="D95" s="922"/>
      <c r="E95" s="923"/>
      <c r="F95" s="752">
        <f>F94*F51</f>
        <v>0</v>
      </c>
      <c r="G95" s="751">
        <f>ROUND(G$34*F95,2)</f>
        <v>0</v>
      </c>
      <c r="H95" s="4"/>
    </row>
    <row r="96" spans="1:8" x14ac:dyDescent="0.2">
      <c r="A96" s="955" t="s">
        <v>83</v>
      </c>
      <c r="B96" s="938"/>
      <c r="C96" s="938"/>
      <c r="D96" s="938"/>
      <c r="E96" s="938"/>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740">
        <f>((((8*13)/12)/220)+((((8*13)/12)/220)*100%))*0</f>
        <v>0</v>
      </c>
      <c r="G98" s="22">
        <f>ROUND(G$34*F98,2)</f>
        <v>0</v>
      </c>
      <c r="H98" s="36"/>
    </row>
    <row r="99" spans="1:8" s="35" customFormat="1" x14ac:dyDescent="0.2">
      <c r="A99" s="11" t="s">
        <v>29</v>
      </c>
      <c r="B99" s="924" t="s">
        <v>191</v>
      </c>
      <c r="C99" s="925"/>
      <c r="D99" s="925"/>
      <c r="E99" s="926"/>
      <c r="F99" s="79">
        <f>F98*F51</f>
        <v>0</v>
      </c>
      <c r="G99" s="22">
        <f>ROUND(G$34*F99,2)</f>
        <v>0</v>
      </c>
      <c r="H99" s="36"/>
    </row>
    <row r="100" spans="1:8" s="35" customFormat="1" x14ac:dyDescent="0.2">
      <c r="A100" s="961" t="s">
        <v>127</v>
      </c>
      <c r="B100" s="962"/>
      <c r="C100" s="962"/>
      <c r="D100" s="962"/>
      <c r="E100" s="962"/>
      <c r="F100" s="42">
        <f>SUM(F98:F99)</f>
        <v>0</v>
      </c>
      <c r="G100" s="112">
        <f>SUM(G98:G99)</f>
        <v>0</v>
      </c>
      <c r="H100" s="36">
        <f>ROUND(G44*F100,2)</f>
        <v>0</v>
      </c>
    </row>
    <row r="101" spans="1:8" x14ac:dyDescent="0.2">
      <c r="A101" s="948" t="s">
        <v>84</v>
      </c>
      <c r="B101" s="949"/>
      <c r="C101" s="949"/>
      <c r="D101" s="949"/>
      <c r="E101" s="949"/>
      <c r="F101" s="950"/>
      <c r="G101" s="951"/>
      <c r="H101" s="4"/>
    </row>
    <row r="102" spans="1:8" x14ac:dyDescent="0.2">
      <c r="A102" s="15" t="s">
        <v>85</v>
      </c>
      <c r="B102" s="952" t="s">
        <v>129</v>
      </c>
      <c r="C102" s="953"/>
      <c r="D102" s="953"/>
      <c r="E102" s="953"/>
      <c r="F102" s="16">
        <f>F86</f>
        <v>0</v>
      </c>
      <c r="G102" s="17">
        <f>G86</f>
        <v>0</v>
      </c>
      <c r="H102" s="4"/>
    </row>
    <row r="103" spans="1:8" x14ac:dyDescent="0.2">
      <c r="A103" s="121" t="s">
        <v>86</v>
      </c>
      <c r="B103" s="927" t="s">
        <v>87</v>
      </c>
      <c r="C103" s="928"/>
      <c r="D103" s="928"/>
      <c r="E103" s="928"/>
      <c r="F103" s="18">
        <f>F92</f>
        <v>0</v>
      </c>
      <c r="G103" s="122">
        <f>G92</f>
        <v>0</v>
      </c>
      <c r="H103" s="4"/>
    </row>
    <row r="104" spans="1:8" x14ac:dyDescent="0.2">
      <c r="A104" s="121" t="s">
        <v>88</v>
      </c>
      <c r="B104" s="927" t="s">
        <v>89</v>
      </c>
      <c r="C104" s="928"/>
      <c r="D104" s="928"/>
      <c r="E104" s="928"/>
      <c r="F104" s="18">
        <f>F96</f>
        <v>0</v>
      </c>
      <c r="G104" s="122">
        <f>G96</f>
        <v>0</v>
      </c>
      <c r="H104" s="4"/>
    </row>
    <row r="105" spans="1:8" x14ac:dyDescent="0.2">
      <c r="A105" s="121" t="s">
        <v>131</v>
      </c>
      <c r="B105" s="933" t="s">
        <v>130</v>
      </c>
      <c r="C105" s="934"/>
      <c r="D105" s="934"/>
      <c r="E105" s="934"/>
      <c r="F105" s="18">
        <f>F100</f>
        <v>0</v>
      </c>
      <c r="G105" s="122">
        <f>G100</f>
        <v>0</v>
      </c>
      <c r="H105" s="4"/>
    </row>
    <row r="106" spans="1:8" x14ac:dyDescent="0.2">
      <c r="A106" s="936" t="s">
        <v>90</v>
      </c>
      <c r="B106" s="937"/>
      <c r="C106" s="937"/>
      <c r="D106" s="937"/>
      <c r="E106" s="937"/>
      <c r="F106" s="938"/>
      <c r="G106" s="105">
        <f>SUM(G102:G105)</f>
        <v>0</v>
      </c>
      <c r="H106" s="4"/>
    </row>
    <row r="107" spans="1:8" x14ac:dyDescent="0.2">
      <c r="A107" s="948" t="s">
        <v>91</v>
      </c>
      <c r="B107" s="949"/>
      <c r="C107" s="949"/>
      <c r="D107" s="949"/>
      <c r="E107" s="949"/>
      <c r="F107" s="950"/>
      <c r="G107" s="951"/>
      <c r="H107" s="4"/>
    </row>
    <row r="108" spans="1:8" x14ac:dyDescent="0.2">
      <c r="A108" s="11" t="s">
        <v>28</v>
      </c>
      <c r="B108" s="965" t="str">
        <f>'Uniformes e EPI''s'!A5</f>
        <v>UNIFORMES</v>
      </c>
      <c r="C108" s="966"/>
      <c r="D108" s="966"/>
      <c r="E108" s="13">
        <f>'Uniformes e EPI''s'!K17</f>
        <v>0</v>
      </c>
      <c r="F108" s="24">
        <v>1</v>
      </c>
      <c r="G108" s="103">
        <f>ROUND(SUM(C108:E108),2)*F108</f>
        <v>0</v>
      </c>
      <c r="H108" s="4"/>
    </row>
    <row r="109" spans="1:8" s="35" customFormat="1" x14ac:dyDescent="0.2">
      <c r="A109" s="37" t="s">
        <v>29</v>
      </c>
      <c r="B109" s="967" t="str">
        <f>'Uniformes e EPI''s'!A19</f>
        <v>EPI's</v>
      </c>
      <c r="C109" s="920"/>
      <c r="D109" s="920"/>
      <c r="E109" s="45">
        <f>'Uniformes e EPI''s'!J39</f>
        <v>0</v>
      </c>
      <c r="F109" s="47">
        <v>1</v>
      </c>
      <c r="G109" s="103">
        <f>ROUND((E109*F109),2)</f>
        <v>0</v>
      </c>
      <c r="H109" s="36"/>
    </row>
    <row r="110" spans="1:8" s="35" customFormat="1" x14ac:dyDescent="0.2">
      <c r="A110" s="37" t="s">
        <v>30</v>
      </c>
      <c r="B110" s="919" t="s">
        <v>59</v>
      </c>
      <c r="C110" s="920"/>
      <c r="D110" s="920"/>
      <c r="E110" s="45">
        <v>0</v>
      </c>
      <c r="F110" s="48">
        <v>1</v>
      </c>
      <c r="G110" s="103">
        <f>ROUND((E110*F110),2)</f>
        <v>0</v>
      </c>
      <c r="H110" s="36"/>
    </row>
    <row r="111" spans="1:8" s="35" customFormat="1" x14ac:dyDescent="0.2">
      <c r="A111" s="165" t="s">
        <v>31</v>
      </c>
      <c r="B111" s="919" t="s">
        <v>59</v>
      </c>
      <c r="C111" s="920"/>
      <c r="D111" s="920"/>
      <c r="E111" s="45">
        <v>0</v>
      </c>
      <c r="F111" s="48">
        <v>1</v>
      </c>
      <c r="G111" s="103">
        <f>ROUND((E111*F111),2)</f>
        <v>0</v>
      </c>
      <c r="H111" s="36"/>
    </row>
    <row r="112" spans="1:8" s="35" customFormat="1" x14ac:dyDescent="0.2">
      <c r="A112" s="37" t="s">
        <v>32</v>
      </c>
      <c r="B112" s="919" t="s">
        <v>59</v>
      </c>
      <c r="C112" s="920"/>
      <c r="D112" s="920"/>
      <c r="E112" s="45">
        <v>0</v>
      </c>
      <c r="F112" s="48">
        <v>1</v>
      </c>
      <c r="G112" s="103">
        <f>ROUND((E112*F112),2)</f>
        <v>0</v>
      </c>
      <c r="H112" s="36"/>
    </row>
    <row r="113" spans="1:8" s="35" customFormat="1" x14ac:dyDescent="0.2">
      <c r="A113" s="37" t="s">
        <v>34</v>
      </c>
      <c r="B113" s="919" t="s">
        <v>59</v>
      </c>
      <c r="C113" s="920"/>
      <c r="D113" s="920"/>
      <c r="E113" s="45">
        <v>0</v>
      </c>
      <c r="F113" s="48">
        <v>1</v>
      </c>
      <c r="G113" s="103">
        <f>ROUND((E113*F113)/12,2)</f>
        <v>0</v>
      </c>
      <c r="H113" s="36"/>
    </row>
    <row r="114" spans="1:8" s="35" customFormat="1" x14ac:dyDescent="0.2">
      <c r="A114" s="165" t="s">
        <v>48</v>
      </c>
      <c r="B114" s="919" t="s">
        <v>59</v>
      </c>
      <c r="C114" s="920"/>
      <c r="D114" s="920"/>
      <c r="E114" s="45">
        <v>0</v>
      </c>
      <c r="F114" s="48">
        <v>1</v>
      </c>
      <c r="G114" s="103">
        <f>ROUND((E114*F114)/12,2)</f>
        <v>0</v>
      </c>
      <c r="H114" s="36"/>
    </row>
    <row r="115" spans="1:8" s="35" customFormat="1" x14ac:dyDescent="0.2">
      <c r="A115" s="37" t="s">
        <v>50</v>
      </c>
      <c r="B115" s="968" t="s">
        <v>59</v>
      </c>
      <c r="C115" s="969"/>
      <c r="D115" s="969"/>
      <c r="E115" s="45">
        <v>0</v>
      </c>
      <c r="F115" s="48">
        <v>1</v>
      </c>
      <c r="G115" s="103">
        <f>ROUND((E115*F115)/12,2)</f>
        <v>0</v>
      </c>
      <c r="H115" s="36"/>
    </row>
    <row r="116" spans="1:8" s="35" customFormat="1" x14ac:dyDescent="0.2">
      <c r="A116" s="963" t="s">
        <v>92</v>
      </c>
      <c r="B116" s="964"/>
      <c r="C116" s="964"/>
      <c r="D116" s="964"/>
      <c r="E116" s="964"/>
      <c r="F116" s="962"/>
      <c r="G116" s="105">
        <f>SUM(G108:G115)</f>
        <v>0</v>
      </c>
      <c r="H116" s="36"/>
    </row>
    <row r="117" spans="1:8" x14ac:dyDescent="0.2">
      <c r="A117" s="948" t="s">
        <v>93</v>
      </c>
      <c r="B117" s="949"/>
      <c r="C117" s="949"/>
      <c r="D117" s="949"/>
      <c r="E117" s="949"/>
      <c r="F117" s="950"/>
      <c r="G117" s="951"/>
      <c r="H117" s="4"/>
    </row>
    <row r="118" spans="1:8" s="21" customFormat="1" x14ac:dyDescent="0.2">
      <c r="A118" s="99">
        <v>3</v>
      </c>
      <c r="B118" s="19" t="s">
        <v>94</v>
      </c>
      <c r="C118" s="19"/>
      <c r="D118" s="19"/>
      <c r="E118" s="19"/>
      <c r="F118" s="19"/>
      <c r="G118" s="20"/>
      <c r="H118" s="4"/>
    </row>
    <row r="119" spans="1:8" x14ac:dyDescent="0.2">
      <c r="A119" s="11" t="s">
        <v>28</v>
      </c>
      <c r="B119" s="942" t="s">
        <v>95</v>
      </c>
      <c r="C119" s="943"/>
      <c r="D119" s="943"/>
      <c r="E119" s="943"/>
      <c r="F119" s="762">
        <v>0</v>
      </c>
      <c r="G119" s="12">
        <f>ROUND(G135*F119,2)</f>
        <v>0</v>
      </c>
      <c r="H119" s="4"/>
    </row>
    <row r="120" spans="1:8" x14ac:dyDescent="0.2">
      <c r="A120" s="5" t="s">
        <v>29</v>
      </c>
      <c r="B120" s="919" t="s">
        <v>96</v>
      </c>
      <c r="C120" s="920"/>
      <c r="D120" s="920"/>
      <c r="E120" s="920"/>
      <c r="F120" s="763">
        <v>0</v>
      </c>
      <c r="G120" s="107">
        <f>ROUND(((G135+G119)*F120),2)</f>
        <v>0</v>
      </c>
      <c r="H120" s="4"/>
    </row>
    <row r="121" spans="1:8" x14ac:dyDescent="0.2">
      <c r="A121" s="5" t="s">
        <v>30</v>
      </c>
      <c r="B121" s="944" t="s">
        <v>97</v>
      </c>
      <c r="C121" s="945"/>
      <c r="D121" s="945"/>
      <c r="E121" s="945"/>
      <c r="F121" s="123"/>
      <c r="G121" s="107"/>
      <c r="H121" s="4"/>
    </row>
    <row r="122" spans="1:8" x14ac:dyDescent="0.2">
      <c r="A122" s="5" t="s">
        <v>98</v>
      </c>
      <c r="B122" s="919" t="s">
        <v>99</v>
      </c>
      <c r="C122" s="920"/>
      <c r="D122" s="920"/>
      <c r="E122" s="920"/>
      <c r="F122" s="763">
        <v>0</v>
      </c>
      <c r="G122" s="107">
        <f ca="1">ROUND(G$139*F122,2)</f>
        <v>0</v>
      </c>
      <c r="H122" s="4"/>
    </row>
    <row r="123" spans="1:8" s="3" customFormat="1" x14ac:dyDescent="0.2">
      <c r="A123" s="5" t="s">
        <v>100</v>
      </c>
      <c r="B123" s="919" t="s">
        <v>101</v>
      </c>
      <c r="C123" s="920"/>
      <c r="D123" s="920"/>
      <c r="E123" s="920"/>
      <c r="F123" s="763">
        <v>0</v>
      </c>
      <c r="G123" s="107">
        <f ca="1">ROUND(G$139*F123,2)</f>
        <v>0</v>
      </c>
      <c r="H123" s="4"/>
    </row>
    <row r="124" spans="1:8" x14ac:dyDescent="0.2">
      <c r="A124" s="5" t="s">
        <v>102</v>
      </c>
      <c r="B124" s="919" t="s">
        <v>12</v>
      </c>
      <c r="C124" s="920"/>
      <c r="D124" s="920"/>
      <c r="E124" s="920"/>
      <c r="F124" s="123">
        <v>0.05</v>
      </c>
      <c r="G124" s="107">
        <f ca="1">ROUND(G$139*F124,2)</f>
        <v>289.7</v>
      </c>
      <c r="H124" s="4"/>
    </row>
    <row r="125" spans="1:8" x14ac:dyDescent="0.2">
      <c r="A125" s="434" t="s">
        <v>158</v>
      </c>
      <c r="B125" s="919" t="s">
        <v>59</v>
      </c>
      <c r="C125" s="920"/>
      <c r="D125" s="920"/>
      <c r="E125" s="920"/>
      <c r="F125" s="123">
        <v>0</v>
      </c>
      <c r="G125" s="107">
        <f ca="1">ROUND(G$139*F125,2)</f>
        <v>0</v>
      </c>
      <c r="H125" s="4"/>
    </row>
    <row r="126" spans="1:8" x14ac:dyDescent="0.2">
      <c r="A126" s="5" t="s">
        <v>462</v>
      </c>
      <c r="B126" s="919" t="s">
        <v>59</v>
      </c>
      <c r="C126" s="920"/>
      <c r="D126" s="920"/>
      <c r="E126" s="920"/>
      <c r="F126" s="123">
        <v>0</v>
      </c>
      <c r="G126" s="107">
        <f ca="1">ROUND(G$139*F126,2)</f>
        <v>0</v>
      </c>
      <c r="H126" s="4"/>
    </row>
    <row r="127" spans="1:8" x14ac:dyDescent="0.2">
      <c r="A127" s="5"/>
      <c r="B127" s="946" t="s">
        <v>103</v>
      </c>
      <c r="C127" s="947"/>
      <c r="D127" s="947"/>
      <c r="E127" s="947"/>
      <c r="F127" s="128">
        <f>SUM(F122:F126)</f>
        <v>0.05</v>
      </c>
      <c r="G127" s="129">
        <f ca="1">SUM(G122:G126)</f>
        <v>289.7</v>
      </c>
      <c r="H127" s="4">
        <f ca="1">ROUND(G139*F127,2)</f>
        <v>289.7</v>
      </c>
    </row>
    <row r="128" spans="1:8" x14ac:dyDescent="0.2">
      <c r="A128" s="936" t="s">
        <v>104</v>
      </c>
      <c r="B128" s="937"/>
      <c r="C128" s="937"/>
      <c r="D128" s="937"/>
      <c r="E128" s="937"/>
      <c r="F128" s="23">
        <f>SUM(F119,F120,F127)</f>
        <v>0.05</v>
      </c>
      <c r="G128" s="126">
        <f ca="1">SUM(G119:G126)</f>
        <v>289.7</v>
      </c>
      <c r="H128" s="4"/>
    </row>
    <row r="129" spans="1:8" x14ac:dyDescent="0.2">
      <c r="A129" s="948" t="s">
        <v>105</v>
      </c>
      <c r="B129" s="949"/>
      <c r="C129" s="949"/>
      <c r="D129" s="949"/>
      <c r="E129" s="949"/>
      <c r="F129" s="950"/>
      <c r="G129" s="951"/>
      <c r="H129" s="4"/>
    </row>
    <row r="130" spans="1:8" x14ac:dyDescent="0.2">
      <c r="A130" s="15" t="s">
        <v>28</v>
      </c>
      <c r="B130" s="952" t="s">
        <v>106</v>
      </c>
      <c r="C130" s="953"/>
      <c r="D130" s="953"/>
      <c r="E130" s="953"/>
      <c r="F130" s="954"/>
      <c r="G130" s="17">
        <f>G34</f>
        <v>2854.57</v>
      </c>
      <c r="H130" s="4"/>
    </row>
    <row r="131" spans="1:8" x14ac:dyDescent="0.2">
      <c r="A131" s="121" t="s">
        <v>29</v>
      </c>
      <c r="B131" s="927" t="s">
        <v>107</v>
      </c>
      <c r="C131" s="928"/>
      <c r="D131" s="928"/>
      <c r="E131" s="928"/>
      <c r="F131" s="929"/>
      <c r="G131" s="122">
        <f>G68</f>
        <v>2649.76</v>
      </c>
      <c r="H131" s="4"/>
    </row>
    <row r="132" spans="1:8" x14ac:dyDescent="0.2">
      <c r="A132" s="121" t="s">
        <v>30</v>
      </c>
      <c r="B132" s="927" t="s">
        <v>108</v>
      </c>
      <c r="C132" s="928"/>
      <c r="D132" s="928"/>
      <c r="E132" s="928"/>
      <c r="F132" s="929"/>
      <c r="G132" s="122">
        <f>G77</f>
        <v>0</v>
      </c>
      <c r="H132" s="4"/>
    </row>
    <row r="133" spans="1:8" x14ac:dyDescent="0.2">
      <c r="A133" s="121" t="s">
        <v>31</v>
      </c>
      <c r="B133" s="927" t="s">
        <v>109</v>
      </c>
      <c r="C133" s="928"/>
      <c r="D133" s="928"/>
      <c r="E133" s="928"/>
      <c r="F133" s="929"/>
      <c r="G133" s="122">
        <f>G106</f>
        <v>0</v>
      </c>
      <c r="H133" s="4"/>
    </row>
    <row r="134" spans="1:8" x14ac:dyDescent="0.2">
      <c r="A134" s="121" t="s">
        <v>32</v>
      </c>
      <c r="B134" s="927" t="s">
        <v>110</v>
      </c>
      <c r="C134" s="928"/>
      <c r="D134" s="928"/>
      <c r="E134" s="928"/>
      <c r="F134" s="929"/>
      <c r="G134" s="122">
        <f>G116</f>
        <v>0</v>
      </c>
      <c r="H134" s="4"/>
    </row>
    <row r="135" spans="1:8" x14ac:dyDescent="0.2">
      <c r="A135" s="121"/>
      <c r="B135" s="930" t="s">
        <v>111</v>
      </c>
      <c r="C135" s="931"/>
      <c r="D135" s="931"/>
      <c r="E135" s="931"/>
      <c r="F135" s="932"/>
      <c r="G135" s="122">
        <f>SUM(G130:G134)</f>
        <v>5504.33</v>
      </c>
      <c r="H135" s="4"/>
    </row>
    <row r="136" spans="1:8" x14ac:dyDescent="0.2">
      <c r="A136" s="121" t="s">
        <v>34</v>
      </c>
      <c r="B136" s="933" t="s">
        <v>112</v>
      </c>
      <c r="C136" s="934"/>
      <c r="D136" s="934"/>
      <c r="E136" s="934"/>
      <c r="F136" s="935"/>
      <c r="G136" s="122">
        <f ca="1">G128</f>
        <v>289.7</v>
      </c>
      <c r="H136" s="4"/>
    </row>
    <row r="137" spans="1:8" x14ac:dyDescent="0.2">
      <c r="A137" s="936" t="s">
        <v>113</v>
      </c>
      <c r="B137" s="937"/>
      <c r="C137" s="937"/>
      <c r="D137" s="937"/>
      <c r="E137" s="937"/>
      <c r="F137" s="938"/>
      <c r="G137" s="105">
        <f ca="1">SUM(G135:G136)</f>
        <v>5794.03</v>
      </c>
      <c r="H137" s="4">
        <f ca="1">SUM(G130:G136)-G135</f>
        <v>5794.03</v>
      </c>
    </row>
    <row r="138" spans="1:8" x14ac:dyDescent="0.2">
      <c r="A138" s="939" t="s">
        <v>13</v>
      </c>
      <c r="B138" s="940"/>
      <c r="C138" s="940"/>
      <c r="D138" s="940"/>
      <c r="E138" s="940"/>
      <c r="F138" s="940"/>
      <c r="G138" s="941"/>
      <c r="H138" s="4"/>
    </row>
    <row r="139" spans="1:8" x14ac:dyDescent="0.2">
      <c r="A139" s="25"/>
      <c r="B139" s="26" t="s">
        <v>114</v>
      </c>
      <c r="C139" s="26"/>
      <c r="D139" s="26"/>
      <c r="E139" s="26"/>
      <c r="F139" s="27"/>
      <c r="G139" s="28">
        <f ca="1">G137</f>
        <v>5794.03</v>
      </c>
      <c r="H139" s="4"/>
    </row>
    <row r="140" spans="1:8" x14ac:dyDescent="0.2">
      <c r="A140" s="766"/>
      <c r="B140" s="767" t="s">
        <v>115</v>
      </c>
      <c r="C140" s="767"/>
      <c r="D140" s="767"/>
      <c r="E140" s="767"/>
      <c r="F140" s="768">
        <f>F21</f>
        <v>1</v>
      </c>
      <c r="G140" s="769">
        <f ca="1">G139*F140</f>
        <v>5794.03</v>
      </c>
      <c r="H140" s="4"/>
    </row>
    <row r="141" spans="1:8" x14ac:dyDescent="0.2">
      <c r="F141" s="470"/>
    </row>
    <row r="148" spans="7:7" x14ac:dyDescent="0.2">
      <c r="G148" s="33"/>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H110"/>
  <sheetViews>
    <sheetView view="pageBreakPreview" topLeftCell="A61" zoomScaleNormal="100" zoomScaleSheetLayoutView="100" workbookViewId="0">
      <selection activeCell="H86" sqref="H86"/>
    </sheetView>
  </sheetViews>
  <sheetFormatPr defaultColWidth="11.42578125" defaultRowHeight="16.5" x14ac:dyDescent="0.3"/>
  <cols>
    <col min="1" max="1" width="3" style="57" bestFit="1" customWidth="1"/>
    <col min="2" max="2" width="44.28515625" style="57" customWidth="1"/>
    <col min="3" max="8" width="14.5703125" style="57" customWidth="1"/>
    <col min="9" max="16384" width="11.42578125" style="57"/>
  </cols>
  <sheetData>
    <row r="1" spans="2:8" s="34" customFormat="1" x14ac:dyDescent="0.2">
      <c r="B1" s="1408" t="s">
        <v>474</v>
      </c>
      <c r="C1" s="1409"/>
      <c r="D1" s="1409"/>
      <c r="E1" s="1409"/>
      <c r="F1" s="1409"/>
      <c r="G1" s="1409"/>
      <c r="H1" s="1410"/>
    </row>
    <row r="2" spans="2:8" s="34" customFormat="1" ht="17.25" thickBot="1" x14ac:dyDescent="0.25">
      <c r="B2" s="1411" t="s">
        <v>513</v>
      </c>
      <c r="C2" s="1412"/>
      <c r="D2" s="1412"/>
      <c r="E2" s="1412"/>
      <c r="F2" s="1412"/>
      <c r="G2" s="1412"/>
      <c r="H2" s="1413"/>
    </row>
    <row r="3" spans="2:8" s="34" customFormat="1" ht="17.25" thickBot="1" x14ac:dyDescent="0.25">
      <c r="B3" s="1414" t="s">
        <v>392</v>
      </c>
      <c r="C3" s="1415"/>
      <c r="D3" s="1415"/>
      <c r="E3" s="1415"/>
      <c r="F3" s="1415"/>
      <c r="G3" s="1415"/>
      <c r="H3" s="1416"/>
    </row>
    <row r="4" spans="2:8" x14ac:dyDescent="0.3">
      <c r="B4" s="1417" t="s">
        <v>159</v>
      </c>
      <c r="C4" s="1089"/>
      <c r="D4" s="1089"/>
      <c r="E4" s="1089"/>
      <c r="F4" s="1089"/>
      <c r="G4" s="1089"/>
      <c r="H4" s="1090"/>
    </row>
    <row r="5" spans="2:8" ht="17.25" thickBot="1" x14ac:dyDescent="0.35">
      <c r="B5" s="1417"/>
      <c r="C5" s="1089"/>
      <c r="D5" s="1089"/>
      <c r="E5" s="1089"/>
      <c r="F5" s="1089"/>
      <c r="G5" s="1089"/>
      <c r="H5" s="1090"/>
    </row>
    <row r="6" spans="2:8" ht="17.25" thickBot="1" x14ac:dyDescent="0.35">
      <c r="B6" s="490" t="s">
        <v>174</v>
      </c>
      <c r="C6" s="1418" t="s">
        <v>486</v>
      </c>
      <c r="D6" s="1419"/>
      <c r="E6" s="1419"/>
      <c r="F6" s="1419"/>
      <c r="G6" s="1419"/>
      <c r="H6" s="1420"/>
    </row>
    <row r="7" spans="2:8" ht="39" thickBot="1" x14ac:dyDescent="0.35">
      <c r="B7" s="146" t="s">
        <v>193</v>
      </c>
      <c r="C7" s="168" t="s">
        <v>173</v>
      </c>
      <c r="D7" s="168" t="s">
        <v>442</v>
      </c>
      <c r="E7" s="168" t="s">
        <v>244</v>
      </c>
      <c r="F7" s="169" t="s">
        <v>441</v>
      </c>
      <c r="G7" s="82"/>
      <c r="H7" s="72"/>
    </row>
    <row r="8" spans="2:8" x14ac:dyDescent="0.3">
      <c r="B8" s="491" t="s">
        <v>237</v>
      </c>
      <c r="C8" s="492">
        <v>586.83000000000004</v>
      </c>
      <c r="D8" s="493">
        <v>800</v>
      </c>
      <c r="E8" s="494">
        <f t="shared" ref="E8:E13" si="0">C8/D8</f>
        <v>0.73</v>
      </c>
      <c r="F8" s="1407">
        <f>ROUNDDOWN(SUM(E8:E12),0)</f>
        <v>11</v>
      </c>
      <c r="G8" s="1074"/>
      <c r="H8" s="72"/>
    </row>
    <row r="9" spans="2:8" x14ac:dyDescent="0.3">
      <c r="B9" s="495" t="s">
        <v>248</v>
      </c>
      <c r="C9" s="60">
        <v>62997.43</v>
      </c>
      <c r="D9" s="496">
        <v>6500</v>
      </c>
      <c r="E9" s="497">
        <f t="shared" si="0"/>
        <v>9.69</v>
      </c>
      <c r="F9" s="1086"/>
      <c r="G9" s="1074"/>
      <c r="H9" s="72"/>
    </row>
    <row r="10" spans="2:8" x14ac:dyDescent="0.3">
      <c r="B10" s="495" t="s">
        <v>411</v>
      </c>
      <c r="C10" s="498">
        <v>80.67</v>
      </c>
      <c r="D10" s="499">
        <v>300</v>
      </c>
      <c r="E10" s="497">
        <f t="shared" si="0"/>
        <v>0.27</v>
      </c>
      <c r="F10" s="1086"/>
      <c r="G10" s="1074"/>
      <c r="H10" s="72"/>
    </row>
    <row r="11" spans="2:8" x14ac:dyDescent="0.3">
      <c r="B11" s="500" t="s">
        <v>239</v>
      </c>
      <c r="C11" s="501">
        <v>27.76</v>
      </c>
      <c r="D11" s="502">
        <v>200</v>
      </c>
      <c r="E11" s="497">
        <f t="shared" si="0"/>
        <v>0.14000000000000001</v>
      </c>
      <c r="F11" s="1086"/>
      <c r="G11" s="1074"/>
      <c r="H11" s="72"/>
    </row>
    <row r="12" spans="2:8" ht="17.25" thickBot="1" x14ac:dyDescent="0.35">
      <c r="B12" s="707" t="s">
        <v>408</v>
      </c>
      <c r="C12" s="708">
        <v>57.25</v>
      </c>
      <c r="D12" s="709">
        <v>200</v>
      </c>
      <c r="E12" s="710">
        <f t="shared" si="0"/>
        <v>0.28999999999999998</v>
      </c>
      <c r="F12" s="1086"/>
      <c r="G12" s="1074"/>
      <c r="H12" s="72"/>
    </row>
    <row r="13" spans="2:8" ht="17.25" thickBot="1" x14ac:dyDescent="0.35">
      <c r="B13" s="711" t="s">
        <v>238</v>
      </c>
      <c r="C13" s="712">
        <v>75883</v>
      </c>
      <c r="D13" s="713">
        <v>25000</v>
      </c>
      <c r="E13" s="714">
        <f t="shared" si="0"/>
        <v>3.04</v>
      </c>
      <c r="F13" s="715">
        <f>ROUNDDOWN(SUM(E13),0)</f>
        <v>3</v>
      </c>
      <c r="G13" s="472"/>
      <c r="H13" s="72"/>
    </row>
    <row r="14" spans="2:8" x14ac:dyDescent="0.3">
      <c r="B14" s="1401" t="str">
        <f>'Agente de Hig_6X1_CESJR'!F16</f>
        <v>Agente de Higienização (6X1)</v>
      </c>
      <c r="C14" s="1402"/>
      <c r="D14" s="1402"/>
      <c r="E14" s="1402"/>
      <c r="F14" s="503">
        <f>'Agente de Hig_6X1_CESJR'!F22</f>
        <v>1</v>
      </c>
      <c r="G14" s="136"/>
      <c r="H14" s="72"/>
    </row>
    <row r="15" spans="2:8" x14ac:dyDescent="0.3">
      <c r="B15" s="1403" t="str">
        <f>'Agente de Hig_Diuturno_CESJR'!F16</f>
        <v xml:space="preserve">Agente de Higienização (Diuturno) </v>
      </c>
      <c r="C15" s="1404"/>
      <c r="D15" s="1404"/>
      <c r="E15" s="1404"/>
      <c r="F15" s="504">
        <f>'Agente de Hig_Diuturno_CESJR'!F22</f>
        <v>1</v>
      </c>
      <c r="G15" s="137"/>
      <c r="H15" s="72"/>
    </row>
    <row r="16" spans="2:8" x14ac:dyDescent="0.3">
      <c r="B16" s="1403" t="str">
        <f>'Agente de Hig_5X2_CESJR'!F16</f>
        <v>Agente de Higienização (5X2)</v>
      </c>
      <c r="C16" s="1404"/>
      <c r="D16" s="1404"/>
      <c r="E16" s="1404"/>
      <c r="F16" s="504">
        <f>'Agente de Hig_5X2_CESJR'!F22</f>
        <v>7</v>
      </c>
      <c r="G16" s="137"/>
      <c r="H16" s="72"/>
    </row>
    <row r="17" spans="2:8" x14ac:dyDescent="0.3">
      <c r="B17" s="1251" t="str">
        <f>Jardineiro_CESJR!F16</f>
        <v>Jardineiro</v>
      </c>
      <c r="C17" s="1405"/>
      <c r="D17" s="1405"/>
      <c r="E17" s="1406"/>
      <c r="F17" s="505">
        <f>Jardineiro_CESJR!F22</f>
        <v>2</v>
      </c>
      <c r="G17" s="137"/>
      <c r="H17" s="72"/>
    </row>
    <row r="18" spans="2:8" x14ac:dyDescent="0.3">
      <c r="B18" s="1251" t="str">
        <f>Tratorista_CESJR!F16</f>
        <v>Tratorista</v>
      </c>
      <c r="C18" s="1405"/>
      <c r="D18" s="1405"/>
      <c r="E18" s="1406"/>
      <c r="F18" s="505">
        <f>Tratorista_CESJR!F22</f>
        <v>1</v>
      </c>
      <c r="G18" s="137"/>
      <c r="H18" s="72"/>
    </row>
    <row r="19" spans="2:8" x14ac:dyDescent="0.3">
      <c r="B19" s="1251" t="str">
        <f>Buerista_CESJR!F16</f>
        <v>Buerista</v>
      </c>
      <c r="C19" s="1405"/>
      <c r="D19" s="1405"/>
      <c r="E19" s="1406"/>
      <c r="F19" s="505">
        <f>Buerista_CESJR!F22</f>
        <v>1</v>
      </c>
      <c r="G19" s="137"/>
      <c r="H19" s="72"/>
    </row>
    <row r="20" spans="2:8" x14ac:dyDescent="0.3">
      <c r="B20" s="1251" t="str">
        <f>'Ajudante de Serviços_CESJR'!F16</f>
        <v>Ajudante de Serviços Diversos</v>
      </c>
      <c r="C20" s="1405"/>
      <c r="D20" s="1405"/>
      <c r="E20" s="1406"/>
      <c r="F20" s="505">
        <f>'Ajudante de Serviços_CESJR'!F22</f>
        <v>1</v>
      </c>
      <c r="G20" s="137"/>
      <c r="H20" s="72"/>
    </row>
    <row r="21" spans="2:8" x14ac:dyDescent="0.3">
      <c r="B21" s="1251" t="str">
        <f>'Encarregado de Limpeza_CESJR'!F16</f>
        <v>Encarregado de Limpeza</v>
      </c>
      <c r="C21" s="1405"/>
      <c r="D21" s="1405"/>
      <c r="E21" s="1406"/>
      <c r="F21" s="505">
        <f>'Encarregado de Limpeza_CESJR'!F22</f>
        <v>1</v>
      </c>
      <c r="G21" s="137"/>
      <c r="H21" s="72"/>
    </row>
    <row r="22" spans="2:8" ht="17.25" thickBot="1" x14ac:dyDescent="0.35">
      <c r="B22" s="1081" t="s">
        <v>449</v>
      </c>
      <c r="C22" s="1421"/>
      <c r="D22" s="1421"/>
      <c r="E22" s="1421"/>
      <c r="F22" s="506">
        <f>SUM(F14:F21)</f>
        <v>15</v>
      </c>
      <c r="G22" s="138"/>
      <c r="H22" s="72"/>
    </row>
    <row r="23" spans="2:8" ht="17.25" thickBot="1" x14ac:dyDescent="0.35">
      <c r="B23" s="507"/>
      <c r="C23" s="59"/>
      <c r="D23" s="58"/>
      <c r="E23" s="59"/>
      <c r="F23" s="59"/>
      <c r="G23" s="59"/>
      <c r="H23" s="72"/>
    </row>
    <row r="24" spans="2:8" ht="17.25" thickBot="1" x14ac:dyDescent="0.35">
      <c r="B24" s="83" t="s">
        <v>194</v>
      </c>
      <c r="C24" s="508" t="s">
        <v>178</v>
      </c>
      <c r="D24" s="82"/>
      <c r="E24" s="82"/>
      <c r="F24" s="59"/>
      <c r="G24" s="59"/>
      <c r="H24" s="72"/>
    </row>
    <row r="25" spans="2:8" x14ac:dyDescent="0.3">
      <c r="B25" s="315" t="str">
        <f>B14</f>
        <v>Agente de Higienização (6X1)</v>
      </c>
      <c r="C25" s="182">
        <f ca="1">'Agente de Hig_6X1_CESJR'!G140</f>
        <v>4996.6899999999996</v>
      </c>
      <c r="D25" s="81"/>
      <c r="E25" s="81"/>
      <c r="F25" s="59"/>
      <c r="G25" s="59"/>
      <c r="H25" s="74"/>
    </row>
    <row r="26" spans="2:8" x14ac:dyDescent="0.3">
      <c r="B26" s="315" t="str">
        <f t="shared" ref="B26:B29" si="1">B15</f>
        <v xml:space="preserve">Agente de Higienização (Diuturno) </v>
      </c>
      <c r="C26" s="182">
        <f ca="1">'Agente de Hig_Diuturno_CESJR'!G140</f>
        <v>5104.84</v>
      </c>
      <c r="D26" s="81"/>
      <c r="E26" s="81"/>
      <c r="F26" s="59"/>
      <c r="G26" s="59"/>
      <c r="H26" s="74"/>
    </row>
    <row r="27" spans="2:8" x14ac:dyDescent="0.3">
      <c r="B27" s="315" t="str">
        <f t="shared" si="1"/>
        <v>Agente de Higienização (5X2)</v>
      </c>
      <c r="C27" s="182">
        <f ca="1">'Agente de Hig_5X2_CESJR'!G140</f>
        <v>4894.75</v>
      </c>
      <c r="D27" s="81"/>
      <c r="E27" s="81"/>
      <c r="F27" s="59"/>
      <c r="G27" s="59"/>
      <c r="H27" s="74"/>
    </row>
    <row r="28" spans="2:8" x14ac:dyDescent="0.3">
      <c r="B28" s="315" t="str">
        <f t="shared" si="1"/>
        <v>Jardineiro</v>
      </c>
      <c r="C28" s="182">
        <f ca="1">Jardineiro_CESJR!G140</f>
        <v>3899.6</v>
      </c>
      <c r="D28" s="81"/>
      <c r="E28" s="81"/>
      <c r="F28" s="59"/>
      <c r="G28" s="59"/>
      <c r="H28" s="74"/>
    </row>
    <row r="29" spans="2:8" x14ac:dyDescent="0.3">
      <c r="B29" s="315" t="str">
        <f t="shared" si="1"/>
        <v>Tratorista</v>
      </c>
      <c r="C29" s="182">
        <f ca="1">Tratorista_CESJR!G140</f>
        <v>4272.07</v>
      </c>
      <c r="D29" s="81"/>
      <c r="E29" s="81"/>
      <c r="F29" s="59"/>
      <c r="G29" s="59"/>
      <c r="H29" s="74"/>
    </row>
    <row r="30" spans="2:8" x14ac:dyDescent="0.3">
      <c r="B30" s="315" t="str">
        <f>B19</f>
        <v>Buerista</v>
      </c>
      <c r="C30" s="182">
        <f ca="1">Buerista_CESJR!G140</f>
        <v>5958.51</v>
      </c>
      <c r="D30" s="81"/>
      <c r="E30" s="81"/>
      <c r="F30" s="59"/>
      <c r="G30" s="59"/>
      <c r="H30" s="74"/>
    </row>
    <row r="31" spans="2:8" x14ac:dyDescent="0.3">
      <c r="B31" s="315" t="str">
        <f>B20</f>
        <v>Ajudante de Serviços Diversos</v>
      </c>
      <c r="C31" s="182">
        <f ca="1">'Ajudante de Serviços_CESJR'!G142</f>
        <v>4751.37</v>
      </c>
      <c r="D31" s="81"/>
      <c r="E31" s="81"/>
      <c r="F31" s="59"/>
      <c r="G31" s="59"/>
      <c r="H31" s="74"/>
    </row>
    <row r="32" spans="2:8" ht="17.25" thickBot="1" x14ac:dyDescent="0.35">
      <c r="B32" s="334" t="str">
        <f>B21</f>
        <v>Encarregado de Limpeza</v>
      </c>
      <c r="C32" s="509">
        <f ca="1">'Encarregado de Limpeza_CESJR'!G140</f>
        <v>5794.03</v>
      </c>
      <c r="D32" s="81"/>
      <c r="E32" s="81"/>
      <c r="F32" s="59"/>
      <c r="G32" s="59"/>
      <c r="H32" s="74"/>
    </row>
    <row r="33" spans="2:8" ht="17.25" thickBot="1" x14ac:dyDescent="0.35">
      <c r="B33" s="507"/>
      <c r="C33" s="59"/>
      <c r="D33" s="58"/>
      <c r="E33" s="59"/>
      <c r="F33" s="59"/>
      <c r="G33" s="59"/>
      <c r="H33" s="72"/>
    </row>
    <row r="34" spans="2:8" ht="39" thickBot="1" x14ac:dyDescent="0.35">
      <c r="B34" s="510" t="s">
        <v>165</v>
      </c>
      <c r="C34" s="511" t="s">
        <v>177</v>
      </c>
      <c r="D34" s="511" t="s">
        <v>172</v>
      </c>
      <c r="E34" s="511" t="s">
        <v>171</v>
      </c>
      <c r="F34" s="59"/>
      <c r="G34" s="59"/>
      <c r="H34" s="72"/>
    </row>
    <row r="35" spans="2:8" s="61" customFormat="1" x14ac:dyDescent="0.3">
      <c r="B35" s="512" t="s">
        <v>163</v>
      </c>
      <c r="C35" s="513"/>
      <c r="D35" s="513"/>
      <c r="E35" s="514"/>
      <c r="F35" s="59"/>
      <c r="G35" s="59"/>
      <c r="H35" s="72"/>
    </row>
    <row r="36" spans="2:8" s="61" customFormat="1" x14ac:dyDescent="0.3">
      <c r="B36" s="181" t="str">
        <f>B25</f>
        <v>Agente de Higienização (6X1)</v>
      </c>
      <c r="C36" s="515">
        <f>ROUND(1/(26*D$8),9)</f>
        <v>4.8077000000000001E-5</v>
      </c>
      <c r="D36" s="62">
        <f ca="1">C25</f>
        <v>4996.6899999999996</v>
      </c>
      <c r="E36" s="78">
        <f ca="1">ROUND(D36*C36,2)</f>
        <v>0.24</v>
      </c>
      <c r="F36" s="59"/>
      <c r="G36" s="59"/>
      <c r="H36" s="72"/>
    </row>
    <row r="37" spans="2:8" s="61" customFormat="1" x14ac:dyDescent="0.3">
      <c r="B37" s="181" t="str">
        <f>B26</f>
        <v xml:space="preserve">Agente de Higienização (Diuturno) </v>
      </c>
      <c r="C37" s="515">
        <f>ROUND(1/(26*D$8),9)</f>
        <v>4.8077000000000001E-5</v>
      </c>
      <c r="D37" s="62">
        <f ca="1">C26</f>
        <v>5104.84</v>
      </c>
      <c r="E37" s="78">
        <f ca="1">ROUND(D37*C37,2)</f>
        <v>0.25</v>
      </c>
      <c r="F37" s="59"/>
      <c r="G37" s="59"/>
      <c r="H37" s="72"/>
    </row>
    <row r="38" spans="2:8" s="61" customFormat="1" x14ac:dyDescent="0.3">
      <c r="B38" s="181" t="str">
        <f>B27</f>
        <v>Agente de Higienização (5X2)</v>
      </c>
      <c r="C38" s="515">
        <f>ROUND(1/(21*D$8),9)</f>
        <v>5.9524000000000001E-5</v>
      </c>
      <c r="D38" s="62">
        <f ca="1">C27</f>
        <v>4894.75</v>
      </c>
      <c r="E38" s="78">
        <f ca="1">ROUND(D38*C38,2)</f>
        <v>0.28999999999999998</v>
      </c>
      <c r="F38" s="59"/>
      <c r="G38" s="59"/>
      <c r="H38" s="72"/>
    </row>
    <row r="39" spans="2:8" s="61" customFormat="1" x14ac:dyDescent="0.3">
      <c r="B39" s="181" t="str">
        <f>B32</f>
        <v>Encarregado de Limpeza</v>
      </c>
      <c r="C39" s="515">
        <f>ROUND(1/(21*D$8),9)</f>
        <v>5.9524000000000001E-5</v>
      </c>
      <c r="D39" s="62">
        <f ca="1">C32</f>
        <v>5794.03</v>
      </c>
      <c r="E39" s="78">
        <f ca="1">ROUND(D39*C39,2)</f>
        <v>0.34</v>
      </c>
      <c r="F39" s="59"/>
      <c r="G39" s="59"/>
      <c r="H39" s="72"/>
    </row>
    <row r="40" spans="2:8" s="61" customFormat="1" ht="17.25" thickBot="1" x14ac:dyDescent="0.35">
      <c r="B40" s="679"/>
      <c r="C40" s="1422" t="s">
        <v>170</v>
      </c>
      <c r="D40" s="1423"/>
      <c r="E40" s="680">
        <f ca="1">SUM(E36:E39)</f>
        <v>1.1200000000000001</v>
      </c>
      <c r="F40" s="59"/>
      <c r="G40" s="59"/>
      <c r="H40" s="72"/>
    </row>
    <row r="41" spans="2:8" s="61" customFormat="1" ht="39" thickBot="1" x14ac:dyDescent="0.35">
      <c r="B41" s="681" t="s">
        <v>165</v>
      </c>
      <c r="C41" s="682" t="s">
        <v>177</v>
      </c>
      <c r="D41" s="682" t="s">
        <v>172</v>
      </c>
      <c r="E41" s="683" t="s">
        <v>171</v>
      </c>
      <c r="F41" s="59"/>
      <c r="G41" s="59"/>
      <c r="H41" s="72"/>
    </row>
    <row r="42" spans="2:8" s="61" customFormat="1" x14ac:dyDescent="0.3">
      <c r="B42" s="684" t="s">
        <v>161</v>
      </c>
      <c r="C42" s="685"/>
      <c r="D42" s="685"/>
      <c r="E42" s="686"/>
      <c r="F42" s="59"/>
      <c r="G42" s="59"/>
      <c r="H42" s="72"/>
    </row>
    <row r="43" spans="2:8" s="61" customFormat="1" x14ac:dyDescent="0.3">
      <c r="B43" s="181" t="str">
        <f>B25</f>
        <v>Agente de Higienização (6X1)</v>
      </c>
      <c r="C43" s="631">
        <f>ROUND(1/(4*D$9),9)</f>
        <v>3.8461999999999999E-5</v>
      </c>
      <c r="D43" s="62">
        <f ca="1">C25</f>
        <v>4996.6899999999996</v>
      </c>
      <c r="E43" s="687">
        <f ca="1">ROUND(D43*C43,2)</f>
        <v>0.19</v>
      </c>
      <c r="F43" s="59"/>
      <c r="G43" s="59"/>
      <c r="H43" s="72"/>
    </row>
    <row r="44" spans="2:8" s="61" customFormat="1" x14ac:dyDescent="0.3">
      <c r="B44" s="672" t="str">
        <f>B26</f>
        <v xml:space="preserve">Agente de Higienização (Diuturno) </v>
      </c>
      <c r="C44" s="673">
        <f t="shared" ref="C44" si="2">ROUND(1/(4*D$9),9)</f>
        <v>3.8461999999999999E-5</v>
      </c>
      <c r="D44" s="480">
        <f ca="1">C26</f>
        <v>5104.84</v>
      </c>
      <c r="E44" s="688">
        <f t="shared" ref="E44" ca="1" si="3">ROUND(D44*C44,2)</f>
        <v>0.2</v>
      </c>
      <c r="F44" s="59"/>
      <c r="G44" s="59"/>
      <c r="H44" s="72"/>
    </row>
    <row r="45" spans="2:8" s="61" customFormat="1" x14ac:dyDescent="0.3">
      <c r="B45" s="689" t="str">
        <f>B27</f>
        <v>Agente de Higienização (5X2)</v>
      </c>
      <c r="C45" s="677">
        <f t="shared" ref="C45" si="4">ROUND(1/(4*D$9),9)</f>
        <v>3.8461999999999999E-5</v>
      </c>
      <c r="D45" s="678">
        <f ca="1">C27</f>
        <v>4894.75</v>
      </c>
      <c r="E45" s="690">
        <f t="shared" ref="E45" ca="1" si="5">ROUND(D45*C45,2)</f>
        <v>0.19</v>
      </c>
      <c r="F45" s="59"/>
      <c r="G45" s="59"/>
      <c r="H45" s="72"/>
    </row>
    <row r="46" spans="2:8" s="61" customFormat="1" x14ac:dyDescent="0.3">
      <c r="B46" s="689" t="str">
        <f>B30</f>
        <v>Buerista</v>
      </c>
      <c r="C46" s="677">
        <f>ROUND(1/(2*D$9),9)</f>
        <v>7.6922999999999995E-5</v>
      </c>
      <c r="D46" s="678">
        <f ca="1">C28</f>
        <v>3899.6</v>
      </c>
      <c r="E46" s="690">
        <f t="shared" ref="E46" ca="1" si="6">ROUND(D46*C46,2)</f>
        <v>0.3</v>
      </c>
      <c r="F46" s="59"/>
      <c r="G46" s="59"/>
      <c r="H46" s="72"/>
    </row>
    <row r="47" spans="2:8" s="61" customFormat="1" x14ac:dyDescent="0.3">
      <c r="B47" s="674" t="str">
        <f>B32</f>
        <v>Encarregado de Limpeza</v>
      </c>
      <c r="C47" s="675">
        <f>ROUND(1/(21*D$9),9)</f>
        <v>7.3259999999999998E-6</v>
      </c>
      <c r="D47" s="676">
        <f ca="1">C32</f>
        <v>5794.03</v>
      </c>
      <c r="E47" s="691">
        <f ca="1">ROUND(D47*C47,2)</f>
        <v>0.04</v>
      </c>
      <c r="F47" s="59"/>
      <c r="G47" s="59"/>
      <c r="H47" s="72"/>
    </row>
    <row r="48" spans="2:8" s="61" customFormat="1" ht="17.25" thickBot="1" x14ac:dyDescent="0.35">
      <c r="B48" s="310"/>
      <c r="C48" s="1424" t="s">
        <v>169</v>
      </c>
      <c r="D48" s="1425"/>
      <c r="E48" s="692">
        <f ca="1">SUM(E43:E47)</f>
        <v>0.92</v>
      </c>
      <c r="F48" s="59"/>
      <c r="G48" s="59"/>
      <c r="H48" s="72"/>
    </row>
    <row r="49" spans="2:8" s="61" customFormat="1" x14ac:dyDescent="0.3">
      <c r="B49" s="144" t="s">
        <v>240</v>
      </c>
      <c r="C49" s="65"/>
      <c r="D49" s="65"/>
      <c r="E49" s="309"/>
      <c r="F49" s="59"/>
      <c r="G49" s="59"/>
      <c r="H49" s="72"/>
    </row>
    <row r="50" spans="2:8" s="61" customFormat="1" x14ac:dyDescent="0.3">
      <c r="B50" s="181" t="str">
        <f>B25</f>
        <v>Agente de Higienização (6X1)</v>
      </c>
      <c r="C50" s="518">
        <f>ROUND(1/(26*D$11),9)</f>
        <v>1.92308E-4</v>
      </c>
      <c r="D50" s="519">
        <f ca="1">C25</f>
        <v>4996.6899999999996</v>
      </c>
      <c r="E50" s="63">
        <f ca="1">ROUND(D50*C50,2)</f>
        <v>0.96</v>
      </c>
      <c r="F50" s="59"/>
      <c r="G50" s="59"/>
      <c r="H50" s="72"/>
    </row>
    <row r="51" spans="2:8" s="61" customFormat="1" x14ac:dyDescent="0.3">
      <c r="B51" s="181" t="str">
        <f>B27</f>
        <v>Agente de Higienização (5X2)</v>
      </c>
      <c r="C51" s="518">
        <f>ROUND(1/(21*D$11),9)</f>
        <v>2.3809499999999999E-4</v>
      </c>
      <c r="D51" s="519">
        <f ca="1">C27</f>
        <v>4894.75</v>
      </c>
      <c r="E51" s="63">
        <f ca="1">ROUND(D51*C51,2)</f>
        <v>1.17</v>
      </c>
      <c r="F51" s="59"/>
      <c r="G51" s="59"/>
      <c r="H51" s="72"/>
    </row>
    <row r="52" spans="2:8" s="61" customFormat="1" x14ac:dyDescent="0.3">
      <c r="B52" s="516" t="str">
        <f>B32</f>
        <v>Encarregado de Limpeza</v>
      </c>
      <c r="C52" s="518">
        <f>ROUND(1/(21*D$11),9)</f>
        <v>2.3809499999999999E-4</v>
      </c>
      <c r="D52" s="519">
        <f ca="1">C32</f>
        <v>5794.03</v>
      </c>
      <c r="E52" s="63">
        <f t="shared" ref="E52" ca="1" si="7">ROUND(D52*C52,2)</f>
        <v>1.38</v>
      </c>
      <c r="F52" s="59"/>
      <c r="G52" s="59"/>
      <c r="H52" s="72"/>
    </row>
    <row r="53" spans="2:8" s="64" customFormat="1" ht="17.25" thickBot="1" x14ac:dyDescent="0.35">
      <c r="B53" s="517"/>
      <c r="C53" s="1426" t="s">
        <v>241</v>
      </c>
      <c r="D53" s="1119"/>
      <c r="E53" s="520">
        <f ca="1">SUM(E50:E52)</f>
        <v>3.51</v>
      </c>
      <c r="F53" s="59"/>
      <c r="G53" s="59"/>
      <c r="H53" s="72"/>
    </row>
    <row r="54" spans="2:8" s="64" customFormat="1" x14ac:dyDescent="0.3">
      <c r="B54" s="144" t="s">
        <v>409</v>
      </c>
      <c r="C54" s="65"/>
      <c r="D54" s="65"/>
      <c r="E54" s="521"/>
      <c r="F54" s="59"/>
      <c r="G54" s="59"/>
      <c r="H54" s="72"/>
    </row>
    <row r="55" spans="2:8" s="64" customFormat="1" x14ac:dyDescent="0.3">
      <c r="B55" s="299" t="str">
        <f>B26</f>
        <v xml:space="preserve">Agente de Higienização (Diuturno) </v>
      </c>
      <c r="C55" s="518">
        <f>ROUND(1/(26*D$12),9)</f>
        <v>1.92308E-4</v>
      </c>
      <c r="D55" s="519">
        <f ca="1">C26</f>
        <v>5104.84</v>
      </c>
      <c r="E55" s="63">
        <f ca="1">ROUND(D55*C55,2)</f>
        <v>0.98</v>
      </c>
      <c r="F55" s="59"/>
      <c r="G55" s="59"/>
      <c r="H55" s="72"/>
    </row>
    <row r="56" spans="2:8" s="64" customFormat="1" x14ac:dyDescent="0.3">
      <c r="B56" s="299" t="str">
        <f>B32</f>
        <v>Encarregado de Limpeza</v>
      </c>
      <c r="C56" s="518">
        <f>ROUND(1/(26*D$12),9)</f>
        <v>1.92308E-4</v>
      </c>
      <c r="D56" s="519">
        <f ca="1">C32</f>
        <v>5794.03</v>
      </c>
      <c r="E56" s="63">
        <f ca="1">ROUND(D56*C56,2)</f>
        <v>1.1100000000000001</v>
      </c>
      <c r="F56" s="59"/>
      <c r="G56" s="59"/>
      <c r="H56" s="72"/>
    </row>
    <row r="57" spans="2:8" s="64" customFormat="1" ht="17.25" thickBot="1" x14ac:dyDescent="0.35">
      <c r="B57" s="517"/>
      <c r="C57" s="1426" t="s">
        <v>241</v>
      </c>
      <c r="D57" s="1119"/>
      <c r="E57" s="390">
        <f ca="1">SUM(E55:E56)</f>
        <v>2.09</v>
      </c>
      <c r="F57" s="59"/>
      <c r="G57" s="59"/>
      <c r="H57" s="72"/>
    </row>
    <row r="58" spans="2:8" s="61" customFormat="1" ht="17.25" thickBot="1" x14ac:dyDescent="0.35">
      <c r="B58" s="522"/>
      <c r="C58" s="59"/>
      <c r="D58" s="58"/>
      <c r="E58" s="59"/>
      <c r="F58" s="58"/>
      <c r="G58" s="59"/>
      <c r="H58" s="72"/>
    </row>
    <row r="59" spans="2:8" s="61" customFormat="1" ht="17.25" thickBot="1" x14ac:dyDescent="0.35">
      <c r="B59" s="1427" t="s">
        <v>165</v>
      </c>
      <c r="C59" s="1378" t="s">
        <v>177</v>
      </c>
      <c r="D59" s="1378" t="s">
        <v>245</v>
      </c>
      <c r="E59" s="1378" t="s">
        <v>246</v>
      </c>
      <c r="F59" s="1378" t="s">
        <v>168</v>
      </c>
      <c r="G59" s="1378" t="s">
        <v>167</v>
      </c>
      <c r="H59" s="1388" t="s">
        <v>166</v>
      </c>
    </row>
    <row r="60" spans="2:8" s="61" customFormat="1" ht="17.25" thickBot="1" x14ac:dyDescent="0.35">
      <c r="B60" s="1427"/>
      <c r="C60" s="1378"/>
      <c r="D60" s="1378"/>
      <c r="E60" s="1378"/>
      <c r="F60" s="1378"/>
      <c r="G60" s="1378"/>
      <c r="H60" s="1388"/>
    </row>
    <row r="61" spans="2:8" s="61" customFormat="1" x14ac:dyDescent="0.3">
      <c r="B61" s="523" t="s">
        <v>311</v>
      </c>
      <c r="C61" s="524"/>
      <c r="D61" s="524"/>
      <c r="E61" s="524"/>
      <c r="F61" s="524"/>
      <c r="G61" s="524"/>
      <c r="H61" s="525"/>
    </row>
    <row r="62" spans="2:8" s="61" customFormat="1" x14ac:dyDescent="0.3">
      <c r="B62" s="75" t="str">
        <f>B25</f>
        <v>Agente de Higienização (6X1)</v>
      </c>
      <c r="C62" s="518">
        <f>ROUND(1/D$10,9)</f>
        <v>3.333333E-3</v>
      </c>
      <c r="D62" s="526">
        <f>ROUNDUP(((C$10/D$10)*8),2)</f>
        <v>2</v>
      </c>
      <c r="E62" s="527">
        <f>ROUND(1/188.76,9)</f>
        <v>5.2977329999999998E-3</v>
      </c>
      <c r="F62" s="528">
        <f>ROUND(((C62)*(E62)*(D62)),9)</f>
        <v>3.5318000000000003E-5</v>
      </c>
      <c r="G62" s="529">
        <f ca="1">C25</f>
        <v>4996.6899999999996</v>
      </c>
      <c r="H62" s="530">
        <f ca="1">ROUND(G62*F62,2)</f>
        <v>0.18</v>
      </c>
    </row>
    <row r="63" spans="2:8" s="61" customFormat="1" x14ac:dyDescent="0.3">
      <c r="B63" s="75" t="str">
        <f t="shared" ref="B63:B64" si="8">B26</f>
        <v xml:space="preserve">Agente de Higienização (Diuturno) </v>
      </c>
      <c r="C63" s="518">
        <f t="shared" ref="C63:C64" si="9">ROUND(1/D$10,9)</f>
        <v>3.333333E-3</v>
      </c>
      <c r="D63" s="526">
        <f t="shared" ref="D63:D64" si="10">ROUNDUP(((C$10/D$10)*8),2)</f>
        <v>2</v>
      </c>
      <c r="E63" s="527">
        <f t="shared" ref="E63:E64" si="11">ROUND(1/188.76,9)</f>
        <v>5.2977329999999998E-3</v>
      </c>
      <c r="F63" s="528">
        <f t="shared" ref="F63:F64" si="12">ROUND(((C63)*(E63)*(D63)),9)</f>
        <v>3.5318000000000003E-5</v>
      </c>
      <c r="G63" s="529">
        <f t="shared" ref="G63:G64" ca="1" si="13">C26</f>
        <v>5104.84</v>
      </c>
      <c r="H63" s="530">
        <f t="shared" ref="H63:H64" ca="1" si="14">ROUND(G63*F63,2)</f>
        <v>0.18</v>
      </c>
    </row>
    <row r="64" spans="2:8" s="61" customFormat="1" x14ac:dyDescent="0.3">
      <c r="B64" s="75" t="str">
        <f t="shared" si="8"/>
        <v>Agente de Higienização (5X2)</v>
      </c>
      <c r="C64" s="518">
        <f t="shared" si="9"/>
        <v>3.333333E-3</v>
      </c>
      <c r="D64" s="526">
        <f t="shared" si="10"/>
        <v>2</v>
      </c>
      <c r="E64" s="527">
        <f t="shared" si="11"/>
        <v>5.2977329999999998E-3</v>
      </c>
      <c r="F64" s="528">
        <f t="shared" si="12"/>
        <v>3.5318000000000003E-5</v>
      </c>
      <c r="G64" s="529">
        <f t="shared" ca="1" si="13"/>
        <v>4894.75</v>
      </c>
      <c r="H64" s="530">
        <f t="shared" ca="1" si="14"/>
        <v>0.17</v>
      </c>
    </row>
    <row r="65" spans="1:8" s="61" customFormat="1" x14ac:dyDescent="0.3">
      <c r="B65" s="75" t="str">
        <f>B32</f>
        <v>Encarregado de Limpeza</v>
      </c>
      <c r="C65" s="518">
        <f>ROUND(1/(21*D$10),9)</f>
        <v>1.5872999999999999E-4</v>
      </c>
      <c r="D65" s="526">
        <f t="shared" ref="D65" si="15">ROUNDUP(((C$10/D$10)*8),2)</f>
        <v>2</v>
      </c>
      <c r="E65" s="527">
        <f t="shared" ref="E65" si="16">ROUND(1/188.76,9)</f>
        <v>5.2977329999999998E-3</v>
      </c>
      <c r="F65" s="528">
        <f t="shared" ref="F65" si="17">ROUND(((C65)*(E65)*(D65)),9)</f>
        <v>1.6819999999999999E-6</v>
      </c>
      <c r="G65" s="529">
        <f ca="1">C32</f>
        <v>5794.03</v>
      </c>
      <c r="H65" s="530">
        <f t="shared" ref="H65" ca="1" si="18">ROUND(G65*F65,2)</f>
        <v>0.01</v>
      </c>
    </row>
    <row r="66" spans="1:8" s="61" customFormat="1" ht="17.25" thickBot="1" x14ac:dyDescent="0.35">
      <c r="B66" s="531"/>
      <c r="C66" s="532"/>
      <c r="D66" s="532"/>
      <c r="E66" s="532"/>
      <c r="F66" s="532"/>
      <c r="G66" s="473" t="s">
        <v>312</v>
      </c>
      <c r="H66" s="533">
        <f ca="1">ROUND(SUM(H62:H65),2)</f>
        <v>0.54</v>
      </c>
    </row>
    <row r="67" spans="1:8" s="67" customFormat="1" ht="17.25" thickBot="1" x14ac:dyDescent="0.35">
      <c r="A67" s="142"/>
      <c r="B67" s="534"/>
      <c r="C67" s="140"/>
      <c r="D67" s="140"/>
      <c r="E67" s="140"/>
      <c r="F67" s="140"/>
      <c r="G67" s="141"/>
      <c r="H67" s="143"/>
    </row>
    <row r="68" spans="1:8" s="61" customFormat="1" ht="39" thickBot="1" x14ac:dyDescent="0.35">
      <c r="B68" s="535" t="s">
        <v>165</v>
      </c>
      <c r="C68" s="536" t="s">
        <v>177</v>
      </c>
      <c r="D68" s="536" t="s">
        <v>172</v>
      </c>
      <c r="E68" s="536" t="s">
        <v>171</v>
      </c>
      <c r="F68" s="59"/>
      <c r="G68" s="59"/>
      <c r="H68" s="72"/>
    </row>
    <row r="69" spans="1:8" s="61" customFormat="1" x14ac:dyDescent="0.3">
      <c r="B69" s="537" t="s">
        <v>242</v>
      </c>
      <c r="C69" s="538"/>
      <c r="D69" s="538"/>
      <c r="E69" s="521"/>
      <c r="F69" s="59"/>
      <c r="G69" s="59"/>
      <c r="H69" s="72"/>
    </row>
    <row r="70" spans="1:8" s="61" customFormat="1" x14ac:dyDescent="0.3">
      <c r="B70" s="181" t="str">
        <f>B28</f>
        <v>Jardineiro</v>
      </c>
      <c r="C70" s="515">
        <f>ROUND(1/(D$13),9)</f>
        <v>4.0000000000000003E-5</v>
      </c>
      <c r="D70" s="391">
        <f ca="1">C28</f>
        <v>3899.6</v>
      </c>
      <c r="E70" s="78">
        <f ca="1">ROUND(D70*C70,2)</f>
        <v>0.16</v>
      </c>
      <c r="F70" s="59"/>
      <c r="G70" s="59"/>
      <c r="H70" s="72"/>
    </row>
    <row r="71" spans="1:8" s="64" customFormat="1" x14ac:dyDescent="0.3">
      <c r="B71" s="181" t="str">
        <f>B30</f>
        <v>Buerista</v>
      </c>
      <c r="C71" s="515">
        <f t="shared" ref="C71" si="19">ROUND(1/(D$13),9)</f>
        <v>4.0000000000000003E-5</v>
      </c>
      <c r="D71" s="391">
        <f ca="1">C30</f>
        <v>5958.51</v>
      </c>
      <c r="E71" s="78">
        <f ca="1">ROUND(D71*C71,2)</f>
        <v>0.24</v>
      </c>
      <c r="F71" s="59"/>
      <c r="G71" s="59"/>
      <c r="H71" s="72"/>
    </row>
    <row r="72" spans="1:8" s="64" customFormat="1" ht="15.95" customHeight="1" x14ac:dyDescent="0.3">
      <c r="B72" s="181" t="str">
        <f>B32</f>
        <v>Encarregado de Limpeza</v>
      </c>
      <c r="C72" s="539">
        <f>ROUND(1/(21*D13),9)</f>
        <v>1.905E-6</v>
      </c>
      <c r="D72" s="391">
        <f ca="1">C32</f>
        <v>5794.03</v>
      </c>
      <c r="E72" s="78">
        <f ca="1">ROUND(D72*C72,2)</f>
        <v>0.01</v>
      </c>
      <c r="F72" s="59"/>
      <c r="G72" s="59"/>
      <c r="H72" s="72"/>
    </row>
    <row r="73" spans="1:8" s="61" customFormat="1" ht="15.95" customHeight="1" thickBot="1" x14ac:dyDescent="0.35">
      <c r="A73" s="66"/>
      <c r="B73" s="540"/>
      <c r="C73" s="1389" t="s">
        <v>247</v>
      </c>
      <c r="D73" s="1390"/>
      <c r="E73" s="390">
        <f ca="1">SUM(E70:E72)</f>
        <v>0.41</v>
      </c>
      <c r="F73" s="140"/>
      <c r="G73" s="141"/>
      <c r="H73" s="139"/>
    </row>
    <row r="74" spans="1:8" s="61" customFormat="1" ht="15.95" customHeight="1" thickBot="1" x14ac:dyDescent="0.35">
      <c r="A74" s="66"/>
      <c r="B74" s="507"/>
      <c r="C74" s="59"/>
      <c r="D74" s="59"/>
      <c r="E74" s="59"/>
      <c r="F74" s="59"/>
      <c r="G74" s="59"/>
      <c r="H74" s="72"/>
    </row>
    <row r="75" spans="1:8" s="61" customFormat="1" ht="15.95" customHeight="1" thickBot="1" x14ac:dyDescent="0.35">
      <c r="B75" s="1391" t="s">
        <v>165</v>
      </c>
      <c r="C75" s="1393" t="s">
        <v>164</v>
      </c>
      <c r="D75" s="1430" t="s">
        <v>249</v>
      </c>
      <c r="E75" s="1393" t="s">
        <v>250</v>
      </c>
      <c r="F75" s="1393" t="s">
        <v>448</v>
      </c>
      <c r="G75" s="1395" t="s">
        <v>439</v>
      </c>
      <c r="H75" s="72"/>
    </row>
    <row r="76" spans="1:8" s="61" customFormat="1" ht="29.45" customHeight="1" thickBot="1" x14ac:dyDescent="0.35">
      <c r="B76" s="1392"/>
      <c r="C76" s="1394"/>
      <c r="D76" s="1431"/>
      <c r="E76" s="1394"/>
      <c r="F76" s="1394"/>
      <c r="G76" s="1396"/>
      <c r="H76" s="72"/>
    </row>
    <row r="77" spans="1:8" s="61" customFormat="1" ht="15.95" customHeight="1" x14ac:dyDescent="0.3">
      <c r="B77" s="144" t="s">
        <v>163</v>
      </c>
      <c r="C77" s="68">
        <f ca="1">E40</f>
        <v>1.1200000000000001</v>
      </c>
      <c r="D77" s="69">
        <f t="shared" ref="D77:D82" si="20">C8</f>
        <v>586.83000000000004</v>
      </c>
      <c r="E77" s="541">
        <f t="shared" ref="E77:E82" ca="1" si="21">ROUND(D77*C77,2)</f>
        <v>657.25</v>
      </c>
      <c r="F77" s="69">
        <f>D77*12</f>
        <v>7041.96</v>
      </c>
      <c r="G77" s="542">
        <f ca="1">E77*12</f>
        <v>7887</v>
      </c>
      <c r="H77" s="73"/>
    </row>
    <row r="78" spans="1:8" s="61" customFormat="1" ht="15.95" customHeight="1" x14ac:dyDescent="0.3">
      <c r="B78" s="543" t="s">
        <v>161</v>
      </c>
      <c r="C78" s="68">
        <f ca="1">E48</f>
        <v>0.92</v>
      </c>
      <c r="D78" s="69">
        <f t="shared" si="20"/>
        <v>62997.43</v>
      </c>
      <c r="E78" s="541">
        <f t="shared" ca="1" si="21"/>
        <v>57957.64</v>
      </c>
      <c r="F78" s="69">
        <f t="shared" ref="F78:G82" si="22">D78*12</f>
        <v>755969.16</v>
      </c>
      <c r="G78" s="542">
        <f t="shared" ca="1" si="22"/>
        <v>695491.68</v>
      </c>
      <c r="H78" s="73"/>
    </row>
    <row r="79" spans="1:8" s="61" customFormat="1" ht="15.95" customHeight="1" x14ac:dyDescent="0.3">
      <c r="B79" s="543" t="s">
        <v>410</v>
      </c>
      <c r="C79" s="68">
        <f ca="1">H66</f>
        <v>0.54</v>
      </c>
      <c r="D79" s="69">
        <f t="shared" si="20"/>
        <v>80.67</v>
      </c>
      <c r="E79" s="541">
        <f t="shared" ca="1" si="21"/>
        <v>43.56</v>
      </c>
      <c r="F79" s="69">
        <f t="shared" si="22"/>
        <v>968.04</v>
      </c>
      <c r="G79" s="542">
        <f t="shared" ca="1" si="22"/>
        <v>522.72</v>
      </c>
      <c r="H79" s="73"/>
    </row>
    <row r="80" spans="1:8" s="61" customFormat="1" ht="15.95" customHeight="1" x14ac:dyDescent="0.3">
      <c r="B80" s="543" t="s">
        <v>240</v>
      </c>
      <c r="C80" s="68">
        <f ca="1">E53</f>
        <v>3.51</v>
      </c>
      <c r="D80" s="69">
        <f t="shared" si="20"/>
        <v>27.76</v>
      </c>
      <c r="E80" s="541">
        <f t="shared" ca="1" si="21"/>
        <v>97.44</v>
      </c>
      <c r="F80" s="69">
        <f t="shared" si="22"/>
        <v>333.12</v>
      </c>
      <c r="G80" s="542">
        <f t="shared" ca="1" si="22"/>
        <v>1169.28</v>
      </c>
      <c r="H80" s="73"/>
    </row>
    <row r="81" spans="1:8" s="61" customFormat="1" ht="15.95" customHeight="1" x14ac:dyDescent="0.3">
      <c r="B81" s="543" t="s">
        <v>409</v>
      </c>
      <c r="C81" s="68">
        <f ca="1">E57</f>
        <v>2.09</v>
      </c>
      <c r="D81" s="69">
        <f t="shared" si="20"/>
        <v>57.25</v>
      </c>
      <c r="E81" s="541">
        <f t="shared" ca="1" si="21"/>
        <v>119.65</v>
      </c>
      <c r="F81" s="69">
        <f t="shared" si="22"/>
        <v>687</v>
      </c>
      <c r="G81" s="542">
        <f t="shared" ca="1" si="22"/>
        <v>1435.8</v>
      </c>
      <c r="H81" s="73"/>
    </row>
    <row r="82" spans="1:8" s="61" customFormat="1" ht="15.95" customHeight="1" x14ac:dyDescent="0.3">
      <c r="B82" s="543" t="s">
        <v>243</v>
      </c>
      <c r="C82" s="68">
        <f ca="1">E73</f>
        <v>0.41</v>
      </c>
      <c r="D82" s="69">
        <f t="shared" si="20"/>
        <v>75883</v>
      </c>
      <c r="E82" s="541">
        <f t="shared" ca="1" si="21"/>
        <v>31112.03</v>
      </c>
      <c r="F82" s="69">
        <f t="shared" si="22"/>
        <v>910596</v>
      </c>
      <c r="G82" s="542">
        <f t="shared" ca="1" si="22"/>
        <v>373344.36</v>
      </c>
      <c r="H82" s="73"/>
    </row>
    <row r="83" spans="1:8" s="61" customFormat="1" ht="15.95" customHeight="1" x14ac:dyDescent="0.3">
      <c r="A83" s="70" t="s">
        <v>162</v>
      </c>
      <c r="B83" s="1428" t="s">
        <v>413</v>
      </c>
      <c r="C83" s="1429"/>
      <c r="D83" s="1429"/>
      <c r="E83" s="1429"/>
      <c r="F83" s="1429"/>
      <c r="G83" s="544">
        <f ca="1">SUM(E77:E82)</f>
        <v>89987.57</v>
      </c>
      <c r="H83" s="72"/>
    </row>
    <row r="84" spans="1:8" s="61" customFormat="1" ht="15.95" customHeight="1" thickBot="1" x14ac:dyDescent="0.35">
      <c r="A84" s="64"/>
      <c r="B84" s="1397" t="s">
        <v>450</v>
      </c>
      <c r="C84" s="1398"/>
      <c r="D84" s="1398"/>
      <c r="E84" s="1398"/>
      <c r="F84" s="1398"/>
      <c r="G84" s="545">
        <f ca="1">G83*12</f>
        <v>1079850.8400000001</v>
      </c>
      <c r="H84" s="72"/>
    </row>
    <row r="85" spans="1:8" s="61" customFormat="1" x14ac:dyDescent="0.3">
      <c r="A85" s="64"/>
      <c r="B85" s="1399" t="s">
        <v>430</v>
      </c>
      <c r="C85" s="1400"/>
      <c r="D85" s="1400"/>
      <c r="E85" s="1400"/>
      <c r="F85" s="1400"/>
      <c r="G85" s="546">
        <f>'Insumos Diversos'!J136</f>
        <v>0</v>
      </c>
      <c r="H85" s="72"/>
    </row>
    <row r="86" spans="1:8" s="61" customFormat="1" ht="17.25" thickBot="1" x14ac:dyDescent="0.35">
      <c r="A86" s="64"/>
      <c r="B86" s="1052" t="s">
        <v>437</v>
      </c>
      <c r="C86" s="1053"/>
      <c r="D86" s="1053"/>
      <c r="E86" s="1053"/>
      <c r="F86" s="1053"/>
      <c r="G86" s="369">
        <f>G85*12</f>
        <v>0</v>
      </c>
      <c r="H86" s="72"/>
    </row>
    <row r="87" spans="1:8" customFormat="1" x14ac:dyDescent="0.3">
      <c r="B87" s="1234" t="s">
        <v>509</v>
      </c>
      <c r="C87" s="1235"/>
      <c r="D87" s="1235"/>
      <c r="E87" s="1235"/>
      <c r="F87" s="1236"/>
      <c r="G87" s="671">
        <f ca="1">'Ajudante de Serviços_CESJR'!G142</f>
        <v>4751.37</v>
      </c>
    </row>
    <row r="88" spans="1:8" customFormat="1" ht="17.25" thickBot="1" x14ac:dyDescent="0.35">
      <c r="B88" s="1237" t="s">
        <v>508</v>
      </c>
      <c r="C88" s="1238"/>
      <c r="D88" s="1238"/>
      <c r="E88" s="1238"/>
      <c r="F88" s="1239"/>
      <c r="G88" s="388">
        <f ca="1">G87*12</f>
        <v>57016.44</v>
      </c>
    </row>
    <row r="89" spans="1:8" s="61" customFormat="1" x14ac:dyDescent="0.3">
      <c r="A89" s="64"/>
      <c r="B89" s="1382" t="s">
        <v>434</v>
      </c>
      <c r="C89" s="1383"/>
      <c r="D89" s="1383"/>
      <c r="E89" s="1383"/>
      <c r="F89" s="1383"/>
      <c r="G89" s="547">
        <f ca="1">SUM(G83,G85,G87)</f>
        <v>94738.94</v>
      </c>
      <c r="H89" s="72"/>
    </row>
    <row r="90" spans="1:8" s="61" customFormat="1" ht="17.25" thickBot="1" x14ac:dyDescent="0.35">
      <c r="A90" s="64"/>
      <c r="B90" s="1050" t="s">
        <v>435</v>
      </c>
      <c r="C90" s="1051"/>
      <c r="D90" s="1051"/>
      <c r="E90" s="1051"/>
      <c r="F90" s="1051"/>
      <c r="G90" s="382">
        <f ca="1">G89*12</f>
        <v>1136867.28</v>
      </c>
      <c r="H90" s="72"/>
    </row>
    <row r="91" spans="1:8" s="61" customFormat="1" x14ac:dyDescent="0.3">
      <c r="B91" s="340" t="s">
        <v>160</v>
      </c>
      <c r="C91" s="59"/>
      <c r="D91" s="59"/>
      <c r="E91" s="59"/>
      <c r="F91" s="59"/>
      <c r="G91" s="59"/>
      <c r="H91" s="72"/>
    </row>
    <row r="92" spans="1:8" s="61" customFormat="1" x14ac:dyDescent="0.3">
      <c r="B92" s="1384" t="s">
        <v>253</v>
      </c>
      <c r="C92" s="1062"/>
      <c r="D92" s="1062"/>
      <c r="E92" s="1062"/>
      <c r="F92" s="1062"/>
      <c r="G92" s="1062"/>
      <c r="H92" s="1063"/>
    </row>
    <row r="93" spans="1:8" s="61" customFormat="1" x14ac:dyDescent="0.3">
      <c r="B93" s="1385" t="s">
        <v>412</v>
      </c>
      <c r="C93" s="1065"/>
      <c r="D93" s="1065"/>
      <c r="E93" s="1065"/>
      <c r="F93" s="1065"/>
      <c r="G93" s="1065"/>
      <c r="H93" s="1066"/>
    </row>
    <row r="94" spans="1:8" s="61" customFormat="1" x14ac:dyDescent="0.3">
      <c r="B94" s="1386" t="s">
        <v>317</v>
      </c>
      <c r="C94" s="1068"/>
      <c r="D94" s="1068"/>
      <c r="E94" s="1068"/>
      <c r="F94" s="1068"/>
      <c r="G94" s="1068"/>
      <c r="H94" s="1069"/>
    </row>
    <row r="95" spans="1:8" s="61" customFormat="1" x14ac:dyDescent="0.3">
      <c r="B95" s="1387" t="s">
        <v>192</v>
      </c>
      <c r="C95" s="1071"/>
      <c r="D95" s="1071"/>
      <c r="E95" s="1071"/>
      <c r="F95" s="1071"/>
      <c r="G95" s="1071"/>
      <c r="H95" s="1072"/>
    </row>
    <row r="96" spans="1:8" s="61" customFormat="1" ht="17.25" thickBot="1" x14ac:dyDescent="0.35">
      <c r="B96" s="1379" t="s">
        <v>213</v>
      </c>
      <c r="C96" s="1380"/>
      <c r="D96" s="1380"/>
      <c r="E96" s="1380"/>
      <c r="F96" s="1380"/>
      <c r="G96" s="1380"/>
      <c r="H96" s="1381"/>
    </row>
    <row r="97" spans="1:8" s="61" customFormat="1" x14ac:dyDescent="0.3">
      <c r="A97" s="71"/>
      <c r="B97" s="304"/>
      <c r="C97" s="304"/>
      <c r="D97" s="304"/>
      <c r="E97" s="304"/>
      <c r="F97" s="304"/>
      <c r="G97" s="304"/>
      <c r="H97" s="305"/>
    </row>
    <row r="98" spans="1:8" s="61" customFormat="1" x14ac:dyDescent="0.3">
      <c r="A98" s="71"/>
    </row>
    <row r="99" spans="1:8" s="61" customFormat="1" x14ac:dyDescent="0.3">
      <c r="A99" s="71"/>
    </row>
    <row r="100" spans="1:8" s="61" customFormat="1" x14ac:dyDescent="0.3">
      <c r="A100" s="71"/>
    </row>
    <row r="101" spans="1:8" s="61" customFormat="1" x14ac:dyDescent="0.3">
      <c r="A101" s="71"/>
    </row>
    <row r="102" spans="1:8" s="61" customFormat="1" x14ac:dyDescent="0.3">
      <c r="A102" s="71"/>
    </row>
    <row r="103" spans="1:8" s="61" customFormat="1" x14ac:dyDescent="0.3">
      <c r="A103" s="71"/>
    </row>
    <row r="104" spans="1:8" s="61" customFormat="1" x14ac:dyDescent="0.3">
      <c r="A104" s="71"/>
    </row>
    <row r="105" spans="1:8" s="61" customFormat="1" x14ac:dyDescent="0.3">
      <c r="A105" s="71"/>
      <c r="B105" s="57"/>
      <c r="C105" s="57"/>
      <c r="D105" s="57"/>
      <c r="E105" s="57"/>
      <c r="F105" s="57"/>
    </row>
    <row r="106" spans="1:8" s="61" customFormat="1" x14ac:dyDescent="0.3">
      <c r="B106" s="57"/>
      <c r="C106" s="57"/>
      <c r="D106" s="57"/>
      <c r="E106" s="57"/>
      <c r="F106" s="57"/>
      <c r="G106" s="57"/>
    </row>
    <row r="107" spans="1:8" s="61" customFormat="1" x14ac:dyDescent="0.3">
      <c r="B107" s="57"/>
      <c r="C107" s="57"/>
      <c r="D107" s="57"/>
      <c r="E107" s="57"/>
      <c r="F107" s="57"/>
      <c r="G107" s="57"/>
      <c r="H107" s="57"/>
    </row>
    <row r="108" spans="1:8" s="61" customFormat="1" x14ac:dyDescent="0.3">
      <c r="A108" s="71"/>
      <c r="B108" s="57"/>
      <c r="C108" s="57"/>
      <c r="D108" s="57"/>
      <c r="E108" s="57"/>
      <c r="F108" s="57"/>
      <c r="G108" s="57"/>
      <c r="H108" s="57"/>
    </row>
    <row r="109" spans="1:8" s="61" customFormat="1" x14ac:dyDescent="0.3">
      <c r="A109" s="71"/>
      <c r="B109" s="57"/>
      <c r="C109" s="57"/>
      <c r="D109" s="57"/>
      <c r="E109" s="57"/>
      <c r="F109" s="57"/>
      <c r="G109" s="57"/>
      <c r="H109" s="57"/>
    </row>
    <row r="110" spans="1:8" s="61" customFormat="1" x14ac:dyDescent="0.3">
      <c r="B110" s="57"/>
      <c r="C110" s="57"/>
      <c r="D110" s="57"/>
      <c r="E110" s="57"/>
      <c r="F110" s="57"/>
      <c r="G110" s="57"/>
      <c r="H110" s="57"/>
    </row>
  </sheetData>
  <mergeCells count="47">
    <mergeCell ref="B87:F87"/>
    <mergeCell ref="B88:F88"/>
    <mergeCell ref="B18:E18"/>
    <mergeCell ref="B16:E16"/>
    <mergeCell ref="B21:E21"/>
    <mergeCell ref="B22:E22"/>
    <mergeCell ref="C40:D40"/>
    <mergeCell ref="C48:D48"/>
    <mergeCell ref="C53:D53"/>
    <mergeCell ref="C57:D57"/>
    <mergeCell ref="B59:B60"/>
    <mergeCell ref="C59:C60"/>
    <mergeCell ref="D59:D60"/>
    <mergeCell ref="B83:F83"/>
    <mergeCell ref="D75:D76"/>
    <mergeCell ref="E75:E76"/>
    <mergeCell ref="B1:H1"/>
    <mergeCell ref="B2:H2"/>
    <mergeCell ref="B3:H3"/>
    <mergeCell ref="B4:H5"/>
    <mergeCell ref="C6:H6"/>
    <mergeCell ref="E59:E60"/>
    <mergeCell ref="B84:F84"/>
    <mergeCell ref="B85:F85"/>
    <mergeCell ref="G8:G12"/>
    <mergeCell ref="B14:E14"/>
    <mergeCell ref="B15:E15"/>
    <mergeCell ref="B17:E17"/>
    <mergeCell ref="B20:E20"/>
    <mergeCell ref="F8:F12"/>
    <mergeCell ref="B19:E19"/>
    <mergeCell ref="B86:F86"/>
    <mergeCell ref="F59:F60"/>
    <mergeCell ref="B96:H96"/>
    <mergeCell ref="B89:F89"/>
    <mergeCell ref="B90:F90"/>
    <mergeCell ref="B92:H92"/>
    <mergeCell ref="B93:H93"/>
    <mergeCell ref="B94:H94"/>
    <mergeCell ref="B95:H95"/>
    <mergeCell ref="G59:G60"/>
    <mergeCell ref="H59:H60"/>
    <mergeCell ref="C73:D73"/>
    <mergeCell ref="B75:B76"/>
    <mergeCell ref="C75:C76"/>
    <mergeCell ref="F75:F76"/>
    <mergeCell ref="G75:G76"/>
  </mergeCells>
  <dataValidations disablePrompts="1" count="1">
    <dataValidation type="custom" allowBlank="1" showErrorMessage="1" errorTitle="Erro" error="Não é permitido escrever nesta célula" sqref="K120 JG120 TC120 ACY120 AMU120 AWQ120 BGM120 BQI120 CAE120 CKA120 CTW120 DDS120 DNO120 DXK120 EHG120 ERC120 FAY120 FKU120 FUQ120 GEM120 GOI120 GYE120 HIA120 HRW120 IBS120 ILO120 IVK120 JFG120 JPC120 JYY120 KIU120 KSQ120 LCM120 LMI120 LWE120 MGA120 MPW120 MZS120 NJO120 NTK120 ODG120 ONC120 OWY120 PGU120 PQQ120 QAM120 QKI120 QUE120 REA120 RNW120 RXS120 SHO120 SRK120 TBG120 TLC120 TUY120 UEU120 UOQ120 UYM120 VII120 VSE120 WCA120 WLW120 K65656 JG65656 TC65656 ACY65656 AMU65656 AWQ65656 BGM65656 BQI65656 CAE65656 CKA65656 CTW65656 DDS65656 DNO65656 DXK65656 EHG65656 ERC65656 FAY65656 FKU65656 FUQ65656 GEM65656 GOI65656 GYE65656 HIA65656 HRW65656 IBS65656 ILO65656 IVK65656 JFG65656 JPC65656 JYY65656 KIU65656 KSQ65656 LCM65656 LMI65656 LWE65656 MGA65656 MPW65656 MZS65656 NJO65656 NTK65656 ODG65656 ONC65656 OWY65656 PGU65656 PQQ65656 QAM65656 QKI65656 QUE65656 REA65656 RNW65656 RXS65656 SHO65656 SRK65656 TBG65656 TLC65656 TUY65656 UEU65656 UOQ65656 UYM65656 VII65656 VSE65656 WCA65656 WLW65656 K131192 JG131192 TC131192 ACY131192 AMU131192 AWQ131192 BGM131192 BQI131192 CAE131192 CKA131192 CTW131192 DDS131192 DNO131192 DXK131192 EHG131192 ERC131192 FAY131192 FKU131192 FUQ131192 GEM131192 GOI131192 GYE131192 HIA131192 HRW131192 IBS131192 ILO131192 IVK131192 JFG131192 JPC131192 JYY131192 KIU131192 KSQ131192 LCM131192 LMI131192 LWE131192 MGA131192 MPW131192 MZS131192 NJO131192 NTK131192 ODG131192 ONC131192 OWY131192 PGU131192 PQQ131192 QAM131192 QKI131192 QUE131192 REA131192 RNW131192 RXS131192 SHO131192 SRK131192 TBG131192 TLC131192 TUY131192 UEU131192 UOQ131192 UYM131192 VII131192 VSE131192 WCA131192 WLW131192 K196728 JG196728 TC196728 ACY196728 AMU196728 AWQ196728 BGM196728 BQI196728 CAE196728 CKA196728 CTW196728 DDS196728 DNO196728 DXK196728 EHG196728 ERC196728 FAY196728 FKU196728 FUQ196728 GEM196728 GOI196728 GYE196728 HIA196728 HRW196728 IBS196728 ILO196728 IVK196728 JFG196728 JPC196728 JYY196728 KIU196728 KSQ196728 LCM196728 LMI196728 LWE196728 MGA196728 MPW196728 MZS196728 NJO196728 NTK196728 ODG196728 ONC196728 OWY196728 PGU196728 PQQ196728 QAM196728 QKI196728 QUE196728 REA196728 RNW196728 RXS196728 SHO196728 SRK196728 TBG196728 TLC196728 TUY196728 UEU196728 UOQ196728 UYM196728 VII196728 VSE196728 WCA196728 WLW196728 K262264 JG262264 TC262264 ACY262264 AMU262264 AWQ262264 BGM262264 BQI262264 CAE262264 CKA262264 CTW262264 DDS262264 DNO262264 DXK262264 EHG262264 ERC262264 FAY262264 FKU262264 FUQ262264 GEM262264 GOI262264 GYE262264 HIA262264 HRW262264 IBS262264 ILO262264 IVK262264 JFG262264 JPC262264 JYY262264 KIU262264 KSQ262264 LCM262264 LMI262264 LWE262264 MGA262264 MPW262264 MZS262264 NJO262264 NTK262264 ODG262264 ONC262264 OWY262264 PGU262264 PQQ262264 QAM262264 QKI262264 QUE262264 REA262264 RNW262264 RXS262264 SHO262264 SRK262264 TBG262264 TLC262264 TUY262264 UEU262264 UOQ262264 UYM262264 VII262264 VSE262264 WCA262264 WLW262264 K327800 JG327800 TC327800 ACY327800 AMU327800 AWQ327800 BGM327800 BQI327800 CAE327800 CKA327800 CTW327800 DDS327800 DNO327800 DXK327800 EHG327800 ERC327800 FAY327800 FKU327800 FUQ327800 GEM327800 GOI327800 GYE327800 HIA327800 HRW327800 IBS327800 ILO327800 IVK327800 JFG327800 JPC327800 JYY327800 KIU327800 KSQ327800 LCM327800 LMI327800 LWE327800 MGA327800 MPW327800 MZS327800 NJO327800 NTK327800 ODG327800 ONC327800 OWY327800 PGU327800 PQQ327800 QAM327800 QKI327800 QUE327800 REA327800 RNW327800 RXS327800 SHO327800 SRK327800 TBG327800 TLC327800 TUY327800 UEU327800 UOQ327800 UYM327800 VII327800 VSE327800 WCA327800 WLW327800 K393336 JG393336 TC393336 ACY393336 AMU393336 AWQ393336 BGM393336 BQI393336 CAE393336 CKA393336 CTW393336 DDS393336 DNO393336 DXK393336 EHG393336 ERC393336 FAY393336 FKU393336 FUQ393336 GEM393336 GOI393336 GYE393336 HIA393336 HRW393336 IBS393336 ILO393336 IVK393336 JFG393336 JPC393336 JYY393336 KIU393336 KSQ393336 LCM393336 LMI393336 LWE393336 MGA393336 MPW393336 MZS393336 NJO393336 NTK393336 ODG393336 ONC393336 OWY393336 PGU393336 PQQ393336 QAM393336 QKI393336 QUE393336 REA393336 RNW393336 RXS393336 SHO393336 SRK393336 TBG393336 TLC393336 TUY393336 UEU393336 UOQ393336 UYM393336 VII393336 VSE393336 WCA393336 WLW393336 K458872 JG458872 TC458872 ACY458872 AMU458872 AWQ458872 BGM458872 BQI458872 CAE458872 CKA458872 CTW458872 DDS458872 DNO458872 DXK458872 EHG458872 ERC458872 FAY458872 FKU458872 FUQ458872 GEM458872 GOI458872 GYE458872 HIA458872 HRW458872 IBS458872 ILO458872 IVK458872 JFG458872 JPC458872 JYY458872 KIU458872 KSQ458872 LCM458872 LMI458872 LWE458872 MGA458872 MPW458872 MZS458872 NJO458872 NTK458872 ODG458872 ONC458872 OWY458872 PGU458872 PQQ458872 QAM458872 QKI458872 QUE458872 REA458872 RNW458872 RXS458872 SHO458872 SRK458872 TBG458872 TLC458872 TUY458872 UEU458872 UOQ458872 UYM458872 VII458872 VSE458872 WCA458872 WLW458872 K524408 JG524408 TC524408 ACY524408 AMU524408 AWQ524408 BGM524408 BQI524408 CAE524408 CKA524408 CTW524408 DDS524408 DNO524408 DXK524408 EHG524408 ERC524408 FAY524408 FKU524408 FUQ524408 GEM524408 GOI524408 GYE524408 HIA524408 HRW524408 IBS524408 ILO524408 IVK524408 JFG524408 JPC524408 JYY524408 KIU524408 KSQ524408 LCM524408 LMI524408 LWE524408 MGA524408 MPW524408 MZS524408 NJO524408 NTK524408 ODG524408 ONC524408 OWY524408 PGU524408 PQQ524408 QAM524408 QKI524408 QUE524408 REA524408 RNW524408 RXS524408 SHO524408 SRK524408 TBG524408 TLC524408 TUY524408 UEU524408 UOQ524408 UYM524408 VII524408 VSE524408 WCA524408 WLW524408 K589944 JG589944 TC589944 ACY589944 AMU589944 AWQ589944 BGM589944 BQI589944 CAE589944 CKA589944 CTW589944 DDS589944 DNO589944 DXK589944 EHG589944 ERC589944 FAY589944 FKU589944 FUQ589944 GEM589944 GOI589944 GYE589944 HIA589944 HRW589944 IBS589944 ILO589944 IVK589944 JFG589944 JPC589944 JYY589944 KIU589944 KSQ589944 LCM589944 LMI589944 LWE589944 MGA589944 MPW589944 MZS589944 NJO589944 NTK589944 ODG589944 ONC589944 OWY589944 PGU589944 PQQ589944 QAM589944 QKI589944 QUE589944 REA589944 RNW589944 RXS589944 SHO589944 SRK589944 TBG589944 TLC589944 TUY589944 UEU589944 UOQ589944 UYM589944 VII589944 VSE589944 WCA589944 WLW589944 K655480 JG655480 TC655480 ACY655480 AMU655480 AWQ655480 BGM655480 BQI655480 CAE655480 CKA655480 CTW655480 DDS655480 DNO655480 DXK655480 EHG655480 ERC655480 FAY655480 FKU655480 FUQ655480 GEM655480 GOI655480 GYE655480 HIA655480 HRW655480 IBS655480 ILO655480 IVK655480 JFG655480 JPC655480 JYY655480 KIU655480 KSQ655480 LCM655480 LMI655480 LWE655480 MGA655480 MPW655480 MZS655480 NJO655480 NTK655480 ODG655480 ONC655480 OWY655480 PGU655480 PQQ655480 QAM655480 QKI655480 QUE655480 REA655480 RNW655480 RXS655480 SHO655480 SRK655480 TBG655480 TLC655480 TUY655480 UEU655480 UOQ655480 UYM655480 VII655480 VSE655480 WCA655480 WLW655480 K721016 JG721016 TC721016 ACY721016 AMU721016 AWQ721016 BGM721016 BQI721016 CAE721016 CKA721016 CTW721016 DDS721016 DNO721016 DXK721016 EHG721016 ERC721016 FAY721016 FKU721016 FUQ721016 GEM721016 GOI721016 GYE721016 HIA721016 HRW721016 IBS721016 ILO721016 IVK721016 JFG721016 JPC721016 JYY721016 KIU721016 KSQ721016 LCM721016 LMI721016 LWE721016 MGA721016 MPW721016 MZS721016 NJO721016 NTK721016 ODG721016 ONC721016 OWY721016 PGU721016 PQQ721016 QAM721016 QKI721016 QUE721016 REA721016 RNW721016 RXS721016 SHO721016 SRK721016 TBG721016 TLC721016 TUY721016 UEU721016 UOQ721016 UYM721016 VII721016 VSE721016 WCA721016 WLW721016 K786552 JG786552 TC786552 ACY786552 AMU786552 AWQ786552 BGM786552 BQI786552 CAE786552 CKA786552 CTW786552 DDS786552 DNO786552 DXK786552 EHG786552 ERC786552 FAY786552 FKU786552 FUQ786552 GEM786552 GOI786552 GYE786552 HIA786552 HRW786552 IBS786552 ILO786552 IVK786552 JFG786552 JPC786552 JYY786552 KIU786552 KSQ786552 LCM786552 LMI786552 LWE786552 MGA786552 MPW786552 MZS786552 NJO786552 NTK786552 ODG786552 ONC786552 OWY786552 PGU786552 PQQ786552 QAM786552 QKI786552 QUE786552 REA786552 RNW786552 RXS786552 SHO786552 SRK786552 TBG786552 TLC786552 TUY786552 UEU786552 UOQ786552 UYM786552 VII786552 VSE786552 WCA786552 WLW786552 K852088 JG852088 TC852088 ACY852088 AMU852088 AWQ852088 BGM852088 BQI852088 CAE852088 CKA852088 CTW852088 DDS852088 DNO852088 DXK852088 EHG852088 ERC852088 FAY852088 FKU852088 FUQ852088 GEM852088 GOI852088 GYE852088 HIA852088 HRW852088 IBS852088 ILO852088 IVK852088 JFG852088 JPC852088 JYY852088 KIU852088 KSQ852088 LCM852088 LMI852088 LWE852088 MGA852088 MPW852088 MZS852088 NJO852088 NTK852088 ODG852088 ONC852088 OWY852088 PGU852088 PQQ852088 QAM852088 QKI852088 QUE852088 REA852088 RNW852088 RXS852088 SHO852088 SRK852088 TBG852088 TLC852088 TUY852088 UEU852088 UOQ852088 UYM852088 VII852088 VSE852088 WCA852088 WLW852088 K917624 JG917624 TC917624 ACY917624 AMU917624 AWQ917624 BGM917624 BQI917624 CAE917624 CKA917624 CTW917624 DDS917624 DNO917624 DXK917624 EHG917624 ERC917624 FAY917624 FKU917624 FUQ917624 GEM917624 GOI917624 GYE917624 HIA917624 HRW917624 IBS917624 ILO917624 IVK917624 JFG917624 JPC917624 JYY917624 KIU917624 KSQ917624 LCM917624 LMI917624 LWE917624 MGA917624 MPW917624 MZS917624 NJO917624 NTK917624 ODG917624 ONC917624 OWY917624 PGU917624 PQQ917624 QAM917624 QKI917624 QUE917624 REA917624 RNW917624 RXS917624 SHO917624 SRK917624 TBG917624 TLC917624 TUY917624 UEU917624 UOQ917624 UYM917624 VII917624 VSE917624 WCA917624 WLW917624 K983160 JG983160 TC983160 ACY983160 AMU983160 AWQ983160 BGM983160 BQI983160 CAE983160 CKA983160 CTW983160 DDS983160 DNO983160 DXK983160 EHG983160 ERC983160 FAY983160 FKU983160 FUQ983160 GEM983160 GOI983160 GYE983160 HIA983160 HRW983160 IBS983160 ILO983160 IVK983160 JFG983160 JPC983160 JYY983160 KIU983160 KSQ983160 LCM983160 LMI983160 LWE983160 MGA983160 MPW983160 MZS983160 NJO983160 NTK983160 ODG983160 ONC983160 OWY983160 PGU983160 PQQ983160 QAM983160 QKI983160 QUE983160 REA983160 RNW983160 RXS983160 SHO983160 SRK983160 TBG983160 TLC983160 TUY983160 UEU983160 UOQ983160 UYM983160 VII983160 VSE983160 WCA983160 WLW983160">
      <formula1>"&lt;""""&gt; "</formula1>
      <formula2>0</formula2>
    </dataValidation>
  </dataValidations>
  <pageMargins left="0.98425196850393704" right="0.39370078740157483" top="0.78740157480314965" bottom="0.98425196850393704" header="0.59055118110236227" footer="0.78740157480314965"/>
  <pageSetup paperSize="9" scale="43" orientation="portrait" r:id="rId1"/>
  <headerFooter alignWithMargins="0">
    <oddHeader>&amp;RPlanilha MODELO LICITANTE</oddHeader>
    <oddFooter>&amp;C&amp;"Arial Narrow,Normal"&amp;A - Página &amp;P</oddFooter>
  </headerFooter>
  <rowBreaks count="1" manualBreakCount="1">
    <brk id="66" min="1" max="7" man="1"/>
  </rowBreaks>
  <ignoredErrors>
    <ignoredError sqref="G85:G89" formula="1"/>
  </ignoredError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09"/>
  <sheetViews>
    <sheetView view="pageBreakPreview" zoomScaleNormal="100" zoomScaleSheetLayoutView="100" workbookViewId="0">
      <selection activeCell="L58" sqref="L58"/>
    </sheetView>
  </sheetViews>
  <sheetFormatPr defaultRowHeight="12.75" x14ac:dyDescent="0.2"/>
  <cols>
    <col min="1" max="1" width="1.7109375" customWidth="1"/>
    <col min="2" max="2" width="44.28515625" customWidth="1"/>
    <col min="3" max="6" width="14.5703125" customWidth="1"/>
    <col min="7" max="7" width="15.140625" bestFit="1" customWidth="1"/>
  </cols>
  <sheetData>
    <row r="1" spans="2:7" ht="26.25" customHeight="1" x14ac:dyDescent="0.2">
      <c r="B1" s="1488" t="s">
        <v>474</v>
      </c>
      <c r="C1" s="1489"/>
      <c r="D1" s="1489"/>
      <c r="E1" s="1489"/>
      <c r="F1" s="1489"/>
      <c r="G1" s="1490"/>
    </row>
    <row r="2" spans="2:7" ht="38.25" customHeight="1" thickBot="1" x14ac:dyDescent="0.25">
      <c r="B2" s="1491" t="s">
        <v>512</v>
      </c>
      <c r="C2" s="1492"/>
      <c r="D2" s="1492"/>
      <c r="E2" s="1492"/>
      <c r="F2" s="1492"/>
      <c r="G2" s="1493"/>
    </row>
    <row r="3" spans="2:7" ht="38.25" customHeight="1" thickBot="1" x14ac:dyDescent="0.25">
      <c r="B3" s="1494" t="s">
        <v>419</v>
      </c>
      <c r="C3" s="1495"/>
      <c r="D3" s="1495"/>
      <c r="E3" s="1495"/>
      <c r="F3" s="1495"/>
      <c r="G3" s="1496"/>
    </row>
    <row r="4" spans="2:7" x14ac:dyDescent="0.2">
      <c r="B4" s="1497" t="s">
        <v>481</v>
      </c>
      <c r="C4" s="1498"/>
      <c r="D4" s="1498"/>
      <c r="E4" s="1498"/>
      <c r="F4" s="1498"/>
      <c r="G4" s="1499"/>
    </row>
    <row r="5" spans="2:7" ht="12.75" customHeight="1" thickBot="1" x14ac:dyDescent="0.25">
      <c r="B5" s="1500"/>
      <c r="C5" s="1501"/>
      <c r="D5" s="1501"/>
      <c r="E5" s="1501"/>
      <c r="F5" s="1501"/>
      <c r="G5" s="1502"/>
    </row>
    <row r="6" spans="2:7" ht="13.5" customHeight="1" thickBot="1" x14ac:dyDescent="0.25">
      <c r="B6" s="1391" t="s">
        <v>165</v>
      </c>
      <c r="C6" s="1393" t="s">
        <v>164</v>
      </c>
      <c r="D6" s="1430" t="s">
        <v>249</v>
      </c>
      <c r="E6" s="1393" t="s">
        <v>250</v>
      </c>
      <c r="F6" s="1430" t="s">
        <v>251</v>
      </c>
      <c r="G6" s="1395" t="s">
        <v>252</v>
      </c>
    </row>
    <row r="7" spans="2:7" ht="27" customHeight="1" thickBot="1" x14ac:dyDescent="0.25">
      <c r="B7" s="1392"/>
      <c r="C7" s="1394"/>
      <c r="D7" s="1431"/>
      <c r="E7" s="1394"/>
      <c r="F7" s="1431"/>
      <c r="G7" s="1396"/>
    </row>
    <row r="8" spans="2:7" ht="16.5" x14ac:dyDescent="0.3">
      <c r="B8" s="716" t="s">
        <v>163</v>
      </c>
      <c r="C8" s="717">
        <f ca="1">'Quadro Resumo M² - CEARB'!C47</f>
        <v>0.28999999999999998</v>
      </c>
      <c r="D8" s="718">
        <f>'Quadro Resumo M² - CEARB'!D47</f>
        <v>370.55</v>
      </c>
      <c r="E8" s="719">
        <f t="shared" ref="E8:E13" ca="1" si="0">ROUND(D8*C8,2)</f>
        <v>107.46</v>
      </c>
      <c r="F8" s="718">
        <f>D8*12</f>
        <v>4446.6000000000004</v>
      </c>
      <c r="G8" s="720">
        <f ca="1">E8*12</f>
        <v>1289.52</v>
      </c>
    </row>
    <row r="9" spans="2:7" ht="16.5" x14ac:dyDescent="0.3">
      <c r="B9" s="721" t="s">
        <v>161</v>
      </c>
      <c r="C9" s="717">
        <f ca="1">'Quadro Resumo M² - CEARB'!C48</f>
        <v>0.81</v>
      </c>
      <c r="D9" s="718">
        <f>'Quadro Resumo M² - CEARB'!D48</f>
        <v>8200.39</v>
      </c>
      <c r="E9" s="719">
        <f t="shared" ca="1" si="0"/>
        <v>6642.32</v>
      </c>
      <c r="F9" s="718">
        <f t="shared" ref="F9:G13" si="1">D9*12</f>
        <v>98404.68</v>
      </c>
      <c r="G9" s="720">
        <f t="shared" ca="1" si="1"/>
        <v>79707.839999999997</v>
      </c>
    </row>
    <row r="10" spans="2:7" ht="16.5" x14ac:dyDescent="0.3">
      <c r="B10" s="721" t="s">
        <v>410</v>
      </c>
      <c r="C10" s="717">
        <f ca="1">'Quadro Resumo M² - CEARB'!C49</f>
        <v>0.17</v>
      </c>
      <c r="D10" s="718">
        <f>'Quadro Resumo M² - CEARB'!D49</f>
        <v>76.61</v>
      </c>
      <c r="E10" s="719">
        <f t="shared" ca="1" si="0"/>
        <v>13.02</v>
      </c>
      <c r="F10" s="718">
        <f t="shared" si="1"/>
        <v>919.32</v>
      </c>
      <c r="G10" s="720">
        <f t="shared" ca="1" si="1"/>
        <v>156.24</v>
      </c>
    </row>
    <row r="11" spans="2:7" ht="16.5" x14ac:dyDescent="0.3">
      <c r="B11" s="721" t="s">
        <v>240</v>
      </c>
      <c r="C11" s="717">
        <f ca="1">'Quadro Resumo M² - CEARB'!C50</f>
        <v>0.93</v>
      </c>
      <c r="D11" s="718">
        <f>'Quadro Resumo M² - CEARB'!D50</f>
        <v>43.57</v>
      </c>
      <c r="E11" s="719">
        <f t="shared" ca="1" si="0"/>
        <v>40.520000000000003</v>
      </c>
      <c r="F11" s="718">
        <f t="shared" si="1"/>
        <v>522.84</v>
      </c>
      <c r="G11" s="720">
        <f t="shared" ca="1" si="1"/>
        <v>486.24</v>
      </c>
    </row>
    <row r="12" spans="2:7" s="555" customFormat="1" ht="16.5" x14ac:dyDescent="0.3">
      <c r="B12" s="1542" t="s">
        <v>423</v>
      </c>
      <c r="C12" s="1543">
        <f>'Quadro Resumo M² - CEARB'!C51</f>
        <v>0</v>
      </c>
      <c r="D12" s="1544">
        <f>'Quadro Resumo M² - CEARB'!D51</f>
        <v>0</v>
      </c>
      <c r="E12" s="1545">
        <f t="shared" si="0"/>
        <v>0</v>
      </c>
      <c r="F12" s="1544">
        <f t="shared" si="1"/>
        <v>0</v>
      </c>
      <c r="G12" s="1546">
        <f t="shared" si="1"/>
        <v>0</v>
      </c>
    </row>
    <row r="13" spans="2:7" ht="16.5" x14ac:dyDescent="0.3">
      <c r="B13" s="721" t="s">
        <v>243</v>
      </c>
      <c r="C13" s="717">
        <f ca="1">'Quadro Resumo M² - CEARB'!C52</f>
        <v>0.77</v>
      </c>
      <c r="D13" s="718">
        <f>'Quadro Resumo M² - CEARB'!D52</f>
        <v>4998.49</v>
      </c>
      <c r="E13" s="719">
        <f t="shared" ca="1" si="0"/>
        <v>3848.84</v>
      </c>
      <c r="F13" s="718">
        <f t="shared" si="1"/>
        <v>59981.88</v>
      </c>
      <c r="G13" s="720">
        <f t="shared" ca="1" si="1"/>
        <v>46186.080000000002</v>
      </c>
    </row>
    <row r="14" spans="2:7" ht="16.5" x14ac:dyDescent="0.3">
      <c r="B14" s="1503" t="s">
        <v>429</v>
      </c>
      <c r="C14" s="1504"/>
      <c r="D14" s="1504"/>
      <c r="E14" s="1504"/>
      <c r="F14" s="1504"/>
      <c r="G14" s="722">
        <f ca="1">SUM(E8:E13)</f>
        <v>10652.16</v>
      </c>
    </row>
    <row r="15" spans="2:7" ht="17.25" thickBot="1" x14ac:dyDescent="0.35">
      <c r="B15" s="1513" t="s">
        <v>432</v>
      </c>
      <c r="C15" s="1514"/>
      <c r="D15" s="1514"/>
      <c r="E15" s="1514"/>
      <c r="F15" s="1514"/>
      <c r="G15" s="383">
        <f ca="1">G14*12</f>
        <v>127825.92</v>
      </c>
    </row>
    <row r="16" spans="2:7" s="555" customFormat="1" ht="16.5" x14ac:dyDescent="0.3">
      <c r="B16" s="1530" t="s">
        <v>431</v>
      </c>
      <c r="C16" s="1531"/>
      <c r="D16" s="1531"/>
      <c r="E16" s="1531"/>
      <c r="F16" s="1532"/>
      <c r="G16" s="1533">
        <v>0</v>
      </c>
    </row>
    <row r="17" spans="2:7" s="555" customFormat="1" ht="17.25" thickBot="1" x14ac:dyDescent="0.35">
      <c r="B17" s="1534" t="s">
        <v>433</v>
      </c>
      <c r="C17" s="1535"/>
      <c r="D17" s="1535"/>
      <c r="E17" s="1535"/>
      <c r="F17" s="1536"/>
      <c r="G17" s="1537">
        <f>G16*12</f>
        <v>0</v>
      </c>
    </row>
    <row r="18" spans="2:7" ht="16.5" x14ac:dyDescent="0.2">
      <c r="B18" s="1454" t="s">
        <v>430</v>
      </c>
      <c r="C18" s="1455"/>
      <c r="D18" s="1455"/>
      <c r="E18" s="1455"/>
      <c r="F18" s="1455"/>
      <c r="G18" s="723">
        <f>'Insumos Diversos'!D136</f>
        <v>0</v>
      </c>
    </row>
    <row r="19" spans="2:7" ht="17.25" thickBot="1" x14ac:dyDescent="0.35">
      <c r="B19" s="1052" t="s">
        <v>437</v>
      </c>
      <c r="C19" s="1053"/>
      <c r="D19" s="1053"/>
      <c r="E19" s="1053"/>
      <c r="F19" s="1053"/>
      <c r="G19" s="369">
        <f>G18*12</f>
        <v>0</v>
      </c>
    </row>
    <row r="20" spans="2:7" ht="16.5" x14ac:dyDescent="0.3">
      <c r="B20" s="1456" t="s">
        <v>434</v>
      </c>
      <c r="C20" s="1457"/>
      <c r="D20" s="1457"/>
      <c r="E20" s="1457"/>
      <c r="F20" s="1458"/>
      <c r="G20" s="367">
        <f ca="1">SUM(G14,G16,G18)</f>
        <v>10652.16</v>
      </c>
    </row>
    <row r="21" spans="2:7" ht="17.25" thickBot="1" x14ac:dyDescent="0.35">
      <c r="B21" s="1486" t="s">
        <v>435</v>
      </c>
      <c r="C21" s="1487"/>
      <c r="D21" s="1487"/>
      <c r="E21" s="1487"/>
      <c r="F21" s="1487"/>
      <c r="G21" s="384">
        <f ca="1">G20*12</f>
        <v>127825.92</v>
      </c>
    </row>
    <row r="22" spans="2:7" ht="16.5" x14ac:dyDescent="0.2">
      <c r="B22" s="1515" t="s">
        <v>175</v>
      </c>
      <c r="C22" s="1516"/>
      <c r="D22" s="1516"/>
      <c r="E22" s="1516"/>
      <c r="F22" s="1516"/>
      <c r="G22" s="557">
        <f>'Quadro Resumo M² - CEARB'!F14</f>
        <v>2</v>
      </c>
    </row>
    <row r="23" spans="2:7" ht="16.5" x14ac:dyDescent="0.2">
      <c r="B23" s="1479" t="s">
        <v>216</v>
      </c>
      <c r="C23" s="1480"/>
      <c r="D23" s="1480"/>
      <c r="E23" s="1480"/>
      <c r="F23" s="1481"/>
      <c r="G23" s="724">
        <f>'Quadro Resumo M² - CEARB'!F15</f>
        <v>1</v>
      </c>
    </row>
    <row r="24" spans="2:7" ht="17.25" thickBot="1" x14ac:dyDescent="0.25">
      <c r="B24" s="1440" t="s">
        <v>424</v>
      </c>
      <c r="C24" s="1441"/>
      <c r="D24" s="1441"/>
      <c r="E24" s="1441"/>
      <c r="F24" s="1442"/>
      <c r="G24" s="145">
        <f>SUM(G22:G23)</f>
        <v>3</v>
      </c>
    </row>
    <row r="25" spans="2:7" x14ac:dyDescent="0.2">
      <c r="B25" s="1437" t="s">
        <v>482</v>
      </c>
      <c r="C25" s="1438"/>
      <c r="D25" s="1438"/>
      <c r="E25" s="1438"/>
      <c r="F25" s="1438"/>
      <c r="G25" s="1482"/>
    </row>
    <row r="26" spans="2:7" ht="13.5" thickBot="1" x14ac:dyDescent="0.25">
      <c r="B26" s="1483"/>
      <c r="C26" s="1484"/>
      <c r="D26" s="1484"/>
      <c r="E26" s="1484"/>
      <c r="F26" s="1484"/>
      <c r="G26" s="1485"/>
    </row>
    <row r="27" spans="2:7" ht="13.5" thickBot="1" x14ac:dyDescent="0.25">
      <c r="B27" s="1391" t="s">
        <v>165</v>
      </c>
      <c r="C27" s="1393" t="s">
        <v>164</v>
      </c>
      <c r="D27" s="1430" t="s">
        <v>249</v>
      </c>
      <c r="E27" s="1393" t="s">
        <v>250</v>
      </c>
      <c r="F27" s="1430" t="s">
        <v>251</v>
      </c>
      <c r="G27" s="1395" t="s">
        <v>252</v>
      </c>
    </row>
    <row r="28" spans="2:7" ht="27" customHeight="1" thickBot="1" x14ac:dyDescent="0.25">
      <c r="B28" s="1392"/>
      <c r="C28" s="1394"/>
      <c r="D28" s="1431"/>
      <c r="E28" s="1394"/>
      <c r="F28" s="1431"/>
      <c r="G28" s="1396"/>
    </row>
    <row r="29" spans="2:7" ht="16.5" customHeight="1" x14ac:dyDescent="0.3">
      <c r="B29" s="716" t="s">
        <v>163</v>
      </c>
      <c r="C29" s="717">
        <f ca="1">'Quadro Resumo M² - CEMAR'!C50</f>
        <v>0.28999999999999998</v>
      </c>
      <c r="D29" s="718">
        <f>'Quadro Resumo M² - CEMAR'!D50</f>
        <v>253.34</v>
      </c>
      <c r="E29" s="719">
        <f t="shared" ref="E29:E34" ca="1" si="2">ROUND(D29*C29,2)</f>
        <v>73.47</v>
      </c>
      <c r="F29" s="718">
        <f>D29*12</f>
        <v>3040.08</v>
      </c>
      <c r="G29" s="720">
        <f ca="1">E29*12</f>
        <v>881.64</v>
      </c>
    </row>
    <row r="30" spans="2:7" ht="16.5" customHeight="1" x14ac:dyDescent="0.3">
      <c r="B30" s="721" t="s">
        <v>161</v>
      </c>
      <c r="C30" s="717">
        <f ca="1">'Quadro Resumo M² - CEMAR'!C51</f>
        <v>0.53</v>
      </c>
      <c r="D30" s="718">
        <f>'Quadro Resumo M² - CEMAR'!D51</f>
        <v>11626.6</v>
      </c>
      <c r="E30" s="719">
        <f t="shared" ca="1" si="2"/>
        <v>6162.1</v>
      </c>
      <c r="F30" s="718">
        <f t="shared" ref="F30:G34" si="3">D30*12</f>
        <v>139519.20000000001</v>
      </c>
      <c r="G30" s="720">
        <f t="shared" ca="1" si="3"/>
        <v>73945.2</v>
      </c>
    </row>
    <row r="31" spans="2:7" ht="16.5" customHeight="1" x14ac:dyDescent="0.3">
      <c r="B31" s="721" t="s">
        <v>410</v>
      </c>
      <c r="C31" s="717">
        <f ca="1">'Quadro Resumo M² - CEMAR'!C52</f>
        <v>0.17</v>
      </c>
      <c r="D31" s="718">
        <f>'Quadro Resumo M² - CEMAR'!D52</f>
        <v>43.44</v>
      </c>
      <c r="E31" s="719">
        <f t="shared" ca="1" si="2"/>
        <v>7.38</v>
      </c>
      <c r="F31" s="718">
        <f t="shared" si="3"/>
        <v>521.28</v>
      </c>
      <c r="G31" s="720">
        <f t="shared" ca="1" si="3"/>
        <v>88.56</v>
      </c>
    </row>
    <row r="32" spans="2:7" ht="16.5" customHeight="1" x14ac:dyDescent="0.3">
      <c r="B32" s="721" t="s">
        <v>240</v>
      </c>
      <c r="C32" s="717">
        <f ca="1">'Quadro Resumo M² - CEMAR'!C53</f>
        <v>1.1499999999999999</v>
      </c>
      <c r="D32" s="718">
        <f>'Quadro Resumo M² - CEMAR'!D53</f>
        <v>41.47</v>
      </c>
      <c r="E32" s="719">
        <f t="shared" ca="1" si="2"/>
        <v>47.69</v>
      </c>
      <c r="F32" s="718">
        <f t="shared" si="3"/>
        <v>497.64</v>
      </c>
      <c r="G32" s="720">
        <f t="shared" ca="1" si="3"/>
        <v>572.28</v>
      </c>
    </row>
    <row r="33" spans="2:7" s="555" customFormat="1" ht="16.5" customHeight="1" x14ac:dyDescent="0.3">
      <c r="B33" s="1542" t="s">
        <v>409</v>
      </c>
      <c r="C33" s="1543">
        <f ca="1">'Quadro Resumo M² - CEMAR'!C54</f>
        <v>0</v>
      </c>
      <c r="D33" s="1544">
        <f>'Quadro Resumo M² - CEMAR'!D54</f>
        <v>0</v>
      </c>
      <c r="E33" s="1545">
        <f t="shared" ca="1" si="2"/>
        <v>0</v>
      </c>
      <c r="F33" s="1544">
        <f t="shared" si="3"/>
        <v>0</v>
      </c>
      <c r="G33" s="1546">
        <f t="shared" ca="1" si="3"/>
        <v>0</v>
      </c>
    </row>
    <row r="34" spans="2:7" ht="16.5" customHeight="1" x14ac:dyDescent="0.3">
      <c r="B34" s="725" t="s">
        <v>243</v>
      </c>
      <c r="C34" s="717">
        <f ca="1">'Quadro Resumo M² - CEMAR'!C55</f>
        <v>0.13</v>
      </c>
      <c r="D34" s="338">
        <f>'Quadro Resumo M² - CEMAR'!D55</f>
        <v>32279</v>
      </c>
      <c r="E34" s="726">
        <f t="shared" ca="1" si="2"/>
        <v>4196.2700000000004</v>
      </c>
      <c r="F34" s="338">
        <f t="shared" si="3"/>
        <v>387348</v>
      </c>
      <c r="G34" s="727">
        <f t="shared" ca="1" si="3"/>
        <v>50355.24</v>
      </c>
    </row>
    <row r="35" spans="2:7" ht="16.5" x14ac:dyDescent="0.2">
      <c r="B35" s="1507" t="s">
        <v>421</v>
      </c>
      <c r="C35" s="1508"/>
      <c r="D35" s="1508"/>
      <c r="E35" s="1508"/>
      <c r="F35" s="1508"/>
      <c r="G35" s="728">
        <f ca="1">SUM(E29:E34)</f>
        <v>10486.91</v>
      </c>
    </row>
    <row r="36" spans="2:7" ht="17.25" thickBot="1" x14ac:dyDescent="0.35">
      <c r="B36" s="1451" t="s">
        <v>432</v>
      </c>
      <c r="C36" s="1452"/>
      <c r="D36" s="1452"/>
      <c r="E36" s="1452"/>
      <c r="F36" s="1453"/>
      <c r="G36" s="383">
        <f ca="1">SUM(G29:G34)</f>
        <v>125842.92</v>
      </c>
    </row>
    <row r="37" spans="2:7" s="555" customFormat="1" ht="16.5" x14ac:dyDescent="0.3">
      <c r="B37" s="1530" t="s">
        <v>431</v>
      </c>
      <c r="C37" s="1538"/>
      <c r="D37" s="1538"/>
      <c r="E37" s="1538"/>
      <c r="F37" s="1532"/>
      <c r="G37" s="1533">
        <v>0</v>
      </c>
    </row>
    <row r="38" spans="2:7" s="555" customFormat="1" ht="17.25" thickBot="1" x14ac:dyDescent="0.35">
      <c r="B38" s="1534" t="s">
        <v>433</v>
      </c>
      <c r="C38" s="1539"/>
      <c r="D38" s="1539"/>
      <c r="E38" s="1539"/>
      <c r="F38" s="1540"/>
      <c r="G38" s="1541">
        <f>G37*12</f>
        <v>0</v>
      </c>
    </row>
    <row r="39" spans="2:7" ht="16.5" x14ac:dyDescent="0.3">
      <c r="B39" s="1454" t="s">
        <v>430</v>
      </c>
      <c r="C39" s="1509"/>
      <c r="D39" s="1509"/>
      <c r="E39" s="1509"/>
      <c r="F39" s="1509"/>
      <c r="G39" s="729">
        <f>'Quadro Resumo M² - CEMAR'!G58</f>
        <v>0</v>
      </c>
    </row>
    <row r="40" spans="2:7" ht="17.25" thickBot="1" x14ac:dyDescent="0.35">
      <c r="B40" s="1052" t="s">
        <v>437</v>
      </c>
      <c r="C40" s="1053"/>
      <c r="D40" s="1053"/>
      <c r="E40" s="1053"/>
      <c r="F40" s="1053"/>
      <c r="G40" s="387">
        <f>G39*12</f>
        <v>0</v>
      </c>
    </row>
    <row r="41" spans="2:7" ht="16.5" x14ac:dyDescent="0.3">
      <c r="B41" s="1456" t="s">
        <v>434</v>
      </c>
      <c r="C41" s="1512"/>
      <c r="D41" s="1512"/>
      <c r="E41" s="1512"/>
      <c r="F41" s="1458"/>
      <c r="G41" s="730">
        <f ca="1">SUM(G35,G37,G39)</f>
        <v>10486.91</v>
      </c>
    </row>
    <row r="42" spans="2:7" ht="17.25" thickBot="1" x14ac:dyDescent="0.35">
      <c r="B42" s="1445" t="s">
        <v>435</v>
      </c>
      <c r="C42" s="1446"/>
      <c r="D42" s="1446"/>
      <c r="E42" s="1446"/>
      <c r="F42" s="1446"/>
      <c r="G42" s="731">
        <f ca="1">G41*12</f>
        <v>125842.92</v>
      </c>
    </row>
    <row r="43" spans="2:7" ht="16.5" x14ac:dyDescent="0.2">
      <c r="B43" s="1510" t="str">
        <f>'Agente de Higienização_CEMAR'!F16</f>
        <v>Agente de Higienização</v>
      </c>
      <c r="C43" s="1511"/>
      <c r="D43" s="1511"/>
      <c r="E43" s="1511"/>
      <c r="F43" s="1511"/>
      <c r="G43" s="557">
        <f>'Agente de Higienização_CEMAR'!F22</f>
        <v>2</v>
      </c>
    </row>
    <row r="44" spans="2:7" ht="16.5" x14ac:dyDescent="0.2">
      <c r="B44" s="1505" t="str">
        <f>Jardineiro_CEMAR!F16</f>
        <v>Jardineiro</v>
      </c>
      <c r="C44" s="1506"/>
      <c r="D44" s="1506"/>
      <c r="E44" s="1506"/>
      <c r="F44" s="1506"/>
      <c r="G44" s="724">
        <f>Jardineiro_CEMAR!F22</f>
        <v>1</v>
      </c>
    </row>
    <row r="45" spans="2:7" ht="17.25" thickBot="1" x14ac:dyDescent="0.25">
      <c r="B45" s="1477" t="s">
        <v>449</v>
      </c>
      <c r="C45" s="1478"/>
      <c r="D45" s="1478"/>
      <c r="E45" s="1478"/>
      <c r="F45" s="1478"/>
      <c r="G45" s="145">
        <f>SUM(G43:G44)</f>
        <v>3</v>
      </c>
    </row>
    <row r="46" spans="2:7" x14ac:dyDescent="0.2">
      <c r="B46" s="1474" t="s">
        <v>483</v>
      </c>
      <c r="C46" s="1475"/>
      <c r="D46" s="1475"/>
      <c r="E46" s="1475"/>
      <c r="F46" s="1475"/>
      <c r="G46" s="1476"/>
    </row>
    <row r="47" spans="2:7" ht="13.5" thickBot="1" x14ac:dyDescent="0.25">
      <c r="B47" s="1468"/>
      <c r="C47" s="1469"/>
      <c r="D47" s="1469"/>
      <c r="E47" s="1469"/>
      <c r="F47" s="1469"/>
      <c r="G47" s="1470"/>
    </row>
    <row r="48" spans="2:7" ht="13.5" thickBot="1" x14ac:dyDescent="0.25">
      <c r="B48" s="1391" t="s">
        <v>165</v>
      </c>
      <c r="C48" s="1393" t="s">
        <v>164</v>
      </c>
      <c r="D48" s="1430" t="s">
        <v>249</v>
      </c>
      <c r="E48" s="1393" t="s">
        <v>250</v>
      </c>
      <c r="F48" s="1430" t="s">
        <v>251</v>
      </c>
      <c r="G48" s="1395" t="s">
        <v>252</v>
      </c>
    </row>
    <row r="49" spans="2:8" ht="27" customHeight="1" thickBot="1" x14ac:dyDescent="0.25">
      <c r="B49" s="1392"/>
      <c r="C49" s="1394"/>
      <c r="D49" s="1431"/>
      <c r="E49" s="1394"/>
      <c r="F49" s="1431"/>
      <c r="G49" s="1396"/>
    </row>
    <row r="50" spans="2:8" ht="16.5" x14ac:dyDescent="0.3">
      <c r="B50" s="716" t="s">
        <v>163</v>
      </c>
      <c r="C50" s="717">
        <f ca="1">'Quadro Resumo M² - CEPRE'!C63</f>
        <v>0.49</v>
      </c>
      <c r="D50" s="718">
        <f>'Quadro Resumo M² - CEPRE'!D63</f>
        <v>705.07</v>
      </c>
      <c r="E50" s="719">
        <f t="shared" ref="E50:E55" ca="1" si="4">ROUND(D50*C50,2)</f>
        <v>345.48</v>
      </c>
      <c r="F50" s="718">
        <f>D50*12</f>
        <v>8460.84</v>
      </c>
      <c r="G50" s="720">
        <f ca="1">E50*12</f>
        <v>4145.76</v>
      </c>
    </row>
    <row r="51" spans="2:8" ht="16.5" x14ac:dyDescent="0.3">
      <c r="B51" s="721" t="s">
        <v>161</v>
      </c>
      <c r="C51" s="717">
        <f ca="1">'Quadro Resumo M² - CEPRE'!C64</f>
        <v>0.49</v>
      </c>
      <c r="D51" s="718">
        <f>'Quadro Resumo M² - CEPRE'!D64</f>
        <v>13026.31</v>
      </c>
      <c r="E51" s="719">
        <f t="shared" ca="1" si="4"/>
        <v>6382.89</v>
      </c>
      <c r="F51" s="718">
        <f t="shared" ref="F51:G55" si="5">D51*12</f>
        <v>156315.72</v>
      </c>
      <c r="G51" s="720">
        <f t="shared" ca="1" si="5"/>
        <v>76594.679999999993</v>
      </c>
    </row>
    <row r="52" spans="2:8" ht="16.5" x14ac:dyDescent="0.3">
      <c r="B52" s="721" t="s">
        <v>420</v>
      </c>
      <c r="C52" s="717">
        <f ca="1">'Quadro Resumo M² - CEPRE'!C65</f>
        <v>0.36</v>
      </c>
      <c r="D52" s="718">
        <f>'Quadro Resumo M² - CEPRE'!D65</f>
        <v>151.77000000000001</v>
      </c>
      <c r="E52" s="719">
        <f t="shared" ca="1" si="4"/>
        <v>54.64</v>
      </c>
      <c r="F52" s="718">
        <f t="shared" si="5"/>
        <v>1821.24</v>
      </c>
      <c r="G52" s="720">
        <f t="shared" ca="1" si="5"/>
        <v>655.68</v>
      </c>
    </row>
    <row r="53" spans="2:8" ht="16.5" x14ac:dyDescent="0.3">
      <c r="B53" s="721" t="s">
        <v>240</v>
      </c>
      <c r="C53" s="717">
        <f ca="1">'Quadro Resumo M² - CEPRE'!C66</f>
        <v>1.97</v>
      </c>
      <c r="D53" s="718">
        <f>'Quadro Resumo M² - CEPRE'!D66</f>
        <v>74.349999999999994</v>
      </c>
      <c r="E53" s="719">
        <f t="shared" ca="1" si="4"/>
        <v>146.47</v>
      </c>
      <c r="F53" s="718">
        <f t="shared" si="5"/>
        <v>892.2</v>
      </c>
      <c r="G53" s="720">
        <f t="shared" ca="1" si="5"/>
        <v>1757.64</v>
      </c>
    </row>
    <row r="54" spans="2:8" s="555" customFormat="1" ht="16.5" x14ac:dyDescent="0.3">
      <c r="B54" s="1542" t="s">
        <v>422</v>
      </c>
      <c r="C54" s="1543">
        <f ca="1">'Quadro Resumo M² - CEPRE'!C67</f>
        <v>0</v>
      </c>
      <c r="D54" s="1544">
        <f>'Quadro Resumo M² - CEPRE'!D67</f>
        <v>0</v>
      </c>
      <c r="E54" s="1545">
        <f t="shared" ca="1" si="4"/>
        <v>0</v>
      </c>
      <c r="F54" s="1544">
        <f t="shared" si="5"/>
        <v>0</v>
      </c>
      <c r="G54" s="1546">
        <f t="shared" ca="1" si="5"/>
        <v>0</v>
      </c>
    </row>
    <row r="55" spans="2:8" ht="16.5" x14ac:dyDescent="0.3">
      <c r="B55" s="725" t="s">
        <v>243</v>
      </c>
      <c r="C55" s="717">
        <f ca="1">'Quadro Resumo M² - CEPRE'!C68</f>
        <v>0.42</v>
      </c>
      <c r="D55" s="338">
        <f>'Quadro Resumo M² - CEPRE'!D68</f>
        <v>39805</v>
      </c>
      <c r="E55" s="726">
        <f t="shared" ca="1" si="4"/>
        <v>16718.099999999999</v>
      </c>
      <c r="F55" s="338">
        <f t="shared" si="5"/>
        <v>477660</v>
      </c>
      <c r="G55" s="727">
        <f t="shared" ca="1" si="5"/>
        <v>200617.2</v>
      </c>
    </row>
    <row r="56" spans="2:8" ht="16.5" x14ac:dyDescent="0.3">
      <c r="B56" s="1449" t="s">
        <v>421</v>
      </c>
      <c r="C56" s="1450"/>
      <c r="D56" s="1450"/>
      <c r="E56" s="1450"/>
      <c r="F56" s="1450"/>
      <c r="G56" s="732">
        <f ca="1">SUM(E50:E55)</f>
        <v>23647.58</v>
      </c>
    </row>
    <row r="57" spans="2:8" ht="17.25" thickBot="1" x14ac:dyDescent="0.35">
      <c r="B57" s="1451" t="s">
        <v>432</v>
      </c>
      <c r="C57" s="1452"/>
      <c r="D57" s="1452"/>
      <c r="E57" s="1452"/>
      <c r="F57" s="1453"/>
      <c r="G57" s="339">
        <f ca="1">G56*12</f>
        <v>283770.96000000002</v>
      </c>
    </row>
    <row r="58" spans="2:8" ht="16.5" x14ac:dyDescent="0.3">
      <c r="B58" s="1454" t="s">
        <v>430</v>
      </c>
      <c r="C58" s="1455"/>
      <c r="D58" s="1455"/>
      <c r="E58" s="1455"/>
      <c r="F58" s="1455"/>
      <c r="G58" s="729">
        <f>'Quadro Resumo M² - CEPRE'!G71</f>
        <v>0</v>
      </c>
    </row>
    <row r="59" spans="2:8" ht="17.25" thickBot="1" x14ac:dyDescent="0.35">
      <c r="B59" s="1052" t="s">
        <v>437</v>
      </c>
      <c r="C59" s="1053"/>
      <c r="D59" s="1053"/>
      <c r="E59" s="1053"/>
      <c r="F59" s="1053"/>
      <c r="G59" s="387">
        <f>G58*12</f>
        <v>0</v>
      </c>
    </row>
    <row r="60" spans="2:8" ht="16.5" x14ac:dyDescent="0.3">
      <c r="B60" s="1234" t="s">
        <v>509</v>
      </c>
      <c r="C60" s="1459"/>
      <c r="D60" s="1459"/>
      <c r="E60" s="1459"/>
      <c r="F60" s="1236"/>
      <c r="G60" s="671">
        <f ca="1">'Quadro Resumo M² - CEPRE'!G73</f>
        <v>4751.37</v>
      </c>
    </row>
    <row r="61" spans="2:8" ht="17.25" thickBot="1" x14ac:dyDescent="0.35">
      <c r="B61" s="1237" t="s">
        <v>508</v>
      </c>
      <c r="C61" s="1460"/>
      <c r="D61" s="1460"/>
      <c r="E61" s="1460"/>
      <c r="F61" s="1461"/>
      <c r="G61" s="388">
        <f ca="1">G60*12</f>
        <v>57016.44</v>
      </c>
    </row>
    <row r="62" spans="2:8" ht="16.5" x14ac:dyDescent="0.3">
      <c r="B62" s="1456" t="s">
        <v>434</v>
      </c>
      <c r="C62" s="1457"/>
      <c r="D62" s="1457"/>
      <c r="E62" s="1457"/>
      <c r="F62" s="1458"/>
      <c r="G62" s="730">
        <f ca="1">SUM(G56,G58,G60)</f>
        <v>28398.95</v>
      </c>
    </row>
    <row r="63" spans="2:8" ht="17.25" thickBot="1" x14ac:dyDescent="0.35">
      <c r="B63" s="1445" t="s">
        <v>435</v>
      </c>
      <c r="C63" s="1446"/>
      <c r="D63" s="1446"/>
      <c r="E63" s="1446"/>
      <c r="F63" s="1446"/>
      <c r="G63" s="731">
        <f ca="1">G62*12</f>
        <v>340787.4</v>
      </c>
    </row>
    <row r="64" spans="2:8" ht="16.5" x14ac:dyDescent="0.2">
      <c r="B64" s="1447" t="str">
        <f>'Quadro Resumo M² - CEPRE'!B14</f>
        <v>Agente de Higienização</v>
      </c>
      <c r="C64" s="1448"/>
      <c r="D64" s="1448"/>
      <c r="E64" s="1448"/>
      <c r="F64" s="1448"/>
      <c r="G64" s="556">
        <f>'Quadro Resumo M² - CEPRE'!F14</f>
        <v>5</v>
      </c>
      <c r="H64" s="558">
        <f>G64</f>
        <v>5</v>
      </c>
    </row>
    <row r="65" spans="2:8" ht="16.5" x14ac:dyDescent="0.2">
      <c r="B65" s="1443" t="str">
        <f>'Quadro Resumo M² - CEPRE'!B15</f>
        <v>Jardineiro</v>
      </c>
      <c r="C65" s="1444"/>
      <c r="D65" s="1444"/>
      <c r="E65" s="1444"/>
      <c r="F65" s="1444"/>
      <c r="G65" s="733">
        <f>'Quadro Resumo M² - CEPRE'!F15</f>
        <v>1</v>
      </c>
      <c r="H65" s="558"/>
    </row>
    <row r="66" spans="2:8" ht="16.5" x14ac:dyDescent="0.2">
      <c r="B66" s="1443" t="str">
        <f>'Quadro Resumo M² - CEPRE'!B16</f>
        <v>Tratorista</v>
      </c>
      <c r="C66" s="1444"/>
      <c r="D66" s="1444"/>
      <c r="E66" s="1444"/>
      <c r="F66" s="1444"/>
      <c r="G66" s="733">
        <f>'Quadro Resumo M² - CEPRE'!F16</f>
        <v>1</v>
      </c>
    </row>
    <row r="67" spans="2:8" ht="16.5" x14ac:dyDescent="0.2">
      <c r="B67" s="1443" t="str">
        <f>'Quadro Resumo M² - CEPRE'!B17</f>
        <v>Ajudante de Serviços Diversos</v>
      </c>
      <c r="C67" s="1444"/>
      <c r="D67" s="1444"/>
      <c r="E67" s="1444"/>
      <c r="F67" s="1444"/>
      <c r="G67" s="733">
        <f>'Quadro Resumo M² - CEPRE'!F17</f>
        <v>1</v>
      </c>
    </row>
    <row r="68" spans="2:8" ht="16.5" x14ac:dyDescent="0.2">
      <c r="B68" s="1471" t="str">
        <f>'Quadro Resumo M² - CEPRE'!B18</f>
        <v>Agente de Higienização - Líder</v>
      </c>
      <c r="C68" s="1472"/>
      <c r="D68" s="1472"/>
      <c r="E68" s="1472"/>
      <c r="F68" s="1473"/>
      <c r="G68" s="478">
        <f>'Quadro Resumo M² - CEPRE'!F18</f>
        <v>1</v>
      </c>
    </row>
    <row r="69" spans="2:8" ht="17.25" thickBot="1" x14ac:dyDescent="0.25">
      <c r="B69" s="1440" t="s">
        <v>449</v>
      </c>
      <c r="C69" s="1441"/>
      <c r="D69" s="1441"/>
      <c r="E69" s="1441"/>
      <c r="F69" s="1442"/>
      <c r="G69" s="145">
        <f>SUM(G64:G68)</f>
        <v>9</v>
      </c>
    </row>
    <row r="70" spans="2:8" x14ac:dyDescent="0.2">
      <c r="B70" s="1465" t="s">
        <v>484</v>
      </c>
      <c r="C70" s="1466"/>
      <c r="D70" s="1466"/>
      <c r="E70" s="1466"/>
      <c r="F70" s="1466"/>
      <c r="G70" s="1467"/>
    </row>
    <row r="71" spans="2:8" ht="13.5" thickBot="1" x14ac:dyDescent="0.25">
      <c r="B71" s="1468"/>
      <c r="C71" s="1469"/>
      <c r="D71" s="1469"/>
      <c r="E71" s="1469"/>
      <c r="F71" s="1469"/>
      <c r="G71" s="1470"/>
    </row>
    <row r="72" spans="2:8" ht="13.5" thickBot="1" x14ac:dyDescent="0.25">
      <c r="B72" s="1391" t="s">
        <v>165</v>
      </c>
      <c r="C72" s="1393" t="s">
        <v>164</v>
      </c>
      <c r="D72" s="1430" t="s">
        <v>249</v>
      </c>
      <c r="E72" s="1393" t="s">
        <v>250</v>
      </c>
      <c r="F72" s="1430" t="s">
        <v>251</v>
      </c>
      <c r="G72" s="1395" t="s">
        <v>252</v>
      </c>
    </row>
    <row r="73" spans="2:8" ht="27.75" customHeight="1" thickBot="1" x14ac:dyDescent="0.25">
      <c r="B73" s="1392"/>
      <c r="C73" s="1394"/>
      <c r="D73" s="1431"/>
      <c r="E73" s="1394"/>
      <c r="F73" s="1431"/>
      <c r="G73" s="1396"/>
    </row>
    <row r="74" spans="2:8" ht="16.5" x14ac:dyDescent="0.3">
      <c r="B74" s="716" t="s">
        <v>163</v>
      </c>
      <c r="C74" s="717">
        <f ca="1">'Quadro Resumo M² - CESJR'!C77</f>
        <v>1.1200000000000001</v>
      </c>
      <c r="D74" s="718">
        <f>'Quadro Resumo M² - CESJR'!D77</f>
        <v>586.83000000000004</v>
      </c>
      <c r="E74" s="719">
        <f t="shared" ref="E74:E79" ca="1" si="6">ROUND(D74*C74,2)</f>
        <v>657.25</v>
      </c>
      <c r="F74" s="718">
        <f>D74*12</f>
        <v>7041.96</v>
      </c>
      <c r="G74" s="720">
        <f ca="1">E74*12</f>
        <v>7887</v>
      </c>
    </row>
    <row r="75" spans="2:8" ht="16.5" x14ac:dyDescent="0.3">
      <c r="B75" s="721" t="s">
        <v>161</v>
      </c>
      <c r="C75" s="717">
        <f ca="1">'Quadro Resumo M² - CESJR'!C78</f>
        <v>0.92</v>
      </c>
      <c r="D75" s="718">
        <f>'Quadro Resumo M² - CESJR'!D78</f>
        <v>62997.43</v>
      </c>
      <c r="E75" s="719">
        <f t="shared" ca="1" si="6"/>
        <v>57957.64</v>
      </c>
      <c r="F75" s="718">
        <f t="shared" ref="F75:F79" si="7">D75*12</f>
        <v>755969.16</v>
      </c>
      <c r="G75" s="720">
        <f t="shared" ref="G75:G79" ca="1" si="8">E75*12</f>
        <v>695491.68</v>
      </c>
    </row>
    <row r="76" spans="2:8" ht="16.5" x14ac:dyDescent="0.3">
      <c r="B76" s="721" t="s">
        <v>420</v>
      </c>
      <c r="C76" s="717">
        <f ca="1">'Quadro Resumo M² - CESJR'!C79</f>
        <v>0.54</v>
      </c>
      <c r="D76" s="718">
        <f>'Quadro Resumo M² - CESJR'!D79</f>
        <v>80.67</v>
      </c>
      <c r="E76" s="719">
        <f t="shared" ca="1" si="6"/>
        <v>43.56</v>
      </c>
      <c r="F76" s="718">
        <f t="shared" si="7"/>
        <v>968.04</v>
      </c>
      <c r="G76" s="720">
        <f t="shared" ca="1" si="8"/>
        <v>522.72</v>
      </c>
    </row>
    <row r="77" spans="2:8" ht="16.5" x14ac:dyDescent="0.3">
      <c r="B77" s="721" t="s">
        <v>240</v>
      </c>
      <c r="C77" s="717">
        <f ca="1">'Quadro Resumo M² - CESJR'!C80</f>
        <v>3.51</v>
      </c>
      <c r="D77" s="718">
        <f>'Quadro Resumo M² - CESJR'!D80</f>
        <v>27.76</v>
      </c>
      <c r="E77" s="719">
        <f t="shared" ca="1" si="6"/>
        <v>97.44</v>
      </c>
      <c r="F77" s="718">
        <f t="shared" si="7"/>
        <v>333.12</v>
      </c>
      <c r="G77" s="720">
        <f t="shared" ca="1" si="8"/>
        <v>1169.28</v>
      </c>
    </row>
    <row r="78" spans="2:8" ht="16.5" x14ac:dyDescent="0.3">
      <c r="B78" s="721" t="s">
        <v>422</v>
      </c>
      <c r="C78" s="717">
        <f ca="1">'Quadro Resumo M² - CESJR'!C81</f>
        <v>2.09</v>
      </c>
      <c r="D78" s="718">
        <f>'Quadro Resumo M² - CESJR'!D81</f>
        <v>57.25</v>
      </c>
      <c r="E78" s="719">
        <f t="shared" ca="1" si="6"/>
        <v>119.65</v>
      </c>
      <c r="F78" s="718">
        <f t="shared" si="7"/>
        <v>687</v>
      </c>
      <c r="G78" s="720">
        <f t="shared" ca="1" si="8"/>
        <v>1435.8</v>
      </c>
    </row>
    <row r="79" spans="2:8" ht="16.5" x14ac:dyDescent="0.3">
      <c r="B79" s="725" t="s">
        <v>243</v>
      </c>
      <c r="C79" s="717">
        <f ca="1">'Quadro Resumo M² - CESJR'!C82</f>
        <v>0.41</v>
      </c>
      <c r="D79" s="718">
        <f>'Quadro Resumo M² - CESJR'!D82</f>
        <v>75883</v>
      </c>
      <c r="E79" s="726">
        <f t="shared" ca="1" si="6"/>
        <v>31112.03</v>
      </c>
      <c r="F79" s="338">
        <f t="shared" si="7"/>
        <v>910596</v>
      </c>
      <c r="G79" s="727">
        <f t="shared" ca="1" si="8"/>
        <v>373344.36</v>
      </c>
    </row>
    <row r="80" spans="2:8" ht="16.5" x14ac:dyDescent="0.3">
      <c r="B80" s="1449" t="s">
        <v>421</v>
      </c>
      <c r="C80" s="1450"/>
      <c r="D80" s="1450"/>
      <c r="E80" s="1450"/>
      <c r="F80" s="1450"/>
      <c r="G80" s="732">
        <f ca="1">SUM(E74:E79)</f>
        <v>89987.57</v>
      </c>
    </row>
    <row r="81" spans="2:8" ht="17.25" thickBot="1" x14ac:dyDescent="0.35">
      <c r="B81" s="1451" t="s">
        <v>432</v>
      </c>
      <c r="C81" s="1452"/>
      <c r="D81" s="1452"/>
      <c r="E81" s="1452"/>
      <c r="F81" s="1453"/>
      <c r="G81" s="339">
        <f ca="1">G80*12</f>
        <v>1079850.8400000001</v>
      </c>
    </row>
    <row r="82" spans="2:8" ht="16.5" x14ac:dyDescent="0.3">
      <c r="B82" s="1454" t="s">
        <v>430</v>
      </c>
      <c r="C82" s="1455"/>
      <c r="D82" s="1455"/>
      <c r="E82" s="1455"/>
      <c r="F82" s="1455"/>
      <c r="G82" s="729">
        <f>'Quadro Resumo M² - CESJR'!G85</f>
        <v>0</v>
      </c>
    </row>
    <row r="83" spans="2:8" ht="17.25" thickBot="1" x14ac:dyDescent="0.35">
      <c r="B83" s="1052" t="s">
        <v>437</v>
      </c>
      <c r="C83" s="1053"/>
      <c r="D83" s="1053"/>
      <c r="E83" s="1053"/>
      <c r="F83" s="1053"/>
      <c r="G83" s="387">
        <f>G82*12</f>
        <v>0</v>
      </c>
    </row>
    <row r="84" spans="2:8" ht="16.5" x14ac:dyDescent="0.3">
      <c r="B84" s="1234" t="s">
        <v>509</v>
      </c>
      <c r="C84" s="1459"/>
      <c r="D84" s="1459"/>
      <c r="E84" s="1459"/>
      <c r="F84" s="1236"/>
      <c r="G84" s="671">
        <f ca="1">'Ajudante de Serviços_CESJR'!G137</f>
        <v>4751.37</v>
      </c>
    </row>
    <row r="85" spans="2:8" ht="17.25" thickBot="1" x14ac:dyDescent="0.35">
      <c r="B85" s="1237" t="s">
        <v>508</v>
      </c>
      <c r="C85" s="1460"/>
      <c r="D85" s="1460"/>
      <c r="E85" s="1460"/>
      <c r="F85" s="1461"/>
      <c r="G85" s="388">
        <f ca="1">G84*12</f>
        <v>57016.44</v>
      </c>
    </row>
    <row r="86" spans="2:8" ht="16.5" x14ac:dyDescent="0.3">
      <c r="B86" s="1456" t="s">
        <v>434</v>
      </c>
      <c r="C86" s="1457"/>
      <c r="D86" s="1457"/>
      <c r="E86" s="1457"/>
      <c r="F86" s="1458"/>
      <c r="G86" s="730">
        <f ca="1">SUM(G80,G82,G84)</f>
        <v>94738.94</v>
      </c>
    </row>
    <row r="87" spans="2:8" ht="17.25" thickBot="1" x14ac:dyDescent="0.35">
      <c r="B87" s="1445" t="s">
        <v>435</v>
      </c>
      <c r="C87" s="1446"/>
      <c r="D87" s="1446"/>
      <c r="E87" s="1446"/>
      <c r="F87" s="1446"/>
      <c r="G87" s="731">
        <f ca="1">G86*12</f>
        <v>1136867.28</v>
      </c>
    </row>
    <row r="88" spans="2:8" ht="16.5" x14ac:dyDescent="0.2">
      <c r="B88" s="1447" t="str">
        <f>'Quadro Resumo M² - CESJR'!B14:E14</f>
        <v>Agente de Higienização (6X1)</v>
      </c>
      <c r="C88" s="1448"/>
      <c r="D88" s="1448"/>
      <c r="E88" s="1448"/>
      <c r="F88" s="1448"/>
      <c r="G88" s="556">
        <f>'Quadro Resumo M² - CESJR'!F14</f>
        <v>1</v>
      </c>
      <c r="H88" s="558">
        <f>G88+G89+G90</f>
        <v>9</v>
      </c>
    </row>
    <row r="89" spans="2:8" ht="16.5" x14ac:dyDescent="0.2">
      <c r="B89" s="1443" t="str">
        <f>'Quadro Resumo M² - CESJR'!B15:E15</f>
        <v xml:space="preserve">Agente de Higienização (Diuturno) </v>
      </c>
      <c r="C89" s="1444"/>
      <c r="D89" s="1444"/>
      <c r="E89" s="1444"/>
      <c r="F89" s="1444"/>
      <c r="G89" s="733">
        <f>'Quadro Resumo M² - CESJR'!F15</f>
        <v>1</v>
      </c>
      <c r="H89" s="558"/>
    </row>
    <row r="90" spans="2:8" ht="16.5" x14ac:dyDescent="0.2">
      <c r="B90" s="1443" t="str">
        <f>'Quadro Resumo M² - CESJR'!B16:E16</f>
        <v>Agente de Higienização (5X2)</v>
      </c>
      <c r="C90" s="1444"/>
      <c r="D90" s="1444"/>
      <c r="E90" s="1444"/>
      <c r="F90" s="1444"/>
      <c r="G90" s="733">
        <f>'Quadro Resumo M² - CESJR'!F16</f>
        <v>7</v>
      </c>
      <c r="H90" s="558"/>
    </row>
    <row r="91" spans="2:8" ht="16.5" x14ac:dyDescent="0.2">
      <c r="B91" s="1443" t="str">
        <f>'Quadro Resumo M² - CESJR'!B17:E17</f>
        <v>Jardineiro</v>
      </c>
      <c r="C91" s="1444"/>
      <c r="D91" s="1444"/>
      <c r="E91" s="1444"/>
      <c r="F91" s="1444"/>
      <c r="G91" s="733">
        <f>'Quadro Resumo M² - CESJR'!F17</f>
        <v>2</v>
      </c>
    </row>
    <row r="92" spans="2:8" ht="16.5" x14ac:dyDescent="0.2">
      <c r="B92" s="1443" t="str">
        <f>'Quadro Resumo M² - CESJR'!B18:E18</f>
        <v>Tratorista</v>
      </c>
      <c r="C92" s="1444"/>
      <c r="D92" s="1444"/>
      <c r="E92" s="1444"/>
      <c r="F92" s="1444"/>
      <c r="G92" s="733">
        <f>'Quadro Resumo M² - CESJR'!F18</f>
        <v>1</v>
      </c>
    </row>
    <row r="93" spans="2:8" ht="16.5" x14ac:dyDescent="0.2">
      <c r="B93" s="1443" t="str">
        <f>'Quadro Resumo M² - CESJR'!B19:E19</f>
        <v>Buerista</v>
      </c>
      <c r="C93" s="1444"/>
      <c r="D93" s="1444"/>
      <c r="E93" s="1444"/>
      <c r="F93" s="1444"/>
      <c r="G93" s="733">
        <f>'Quadro Resumo M² - CESJR'!F19</f>
        <v>1</v>
      </c>
    </row>
    <row r="94" spans="2:8" ht="16.5" x14ac:dyDescent="0.2">
      <c r="B94" s="1443" t="str">
        <f>'Quadro Resumo M² - CESJR'!B20:E20</f>
        <v>Ajudante de Serviços Diversos</v>
      </c>
      <c r="C94" s="1444"/>
      <c r="D94" s="1444"/>
      <c r="E94" s="1444"/>
      <c r="F94" s="1444"/>
      <c r="G94" s="733">
        <f>'Quadro Resumo M² - CESJR'!F20</f>
        <v>1</v>
      </c>
    </row>
    <row r="95" spans="2:8" ht="16.5" x14ac:dyDescent="0.2">
      <c r="B95" s="1443" t="str">
        <f>'Quadro Resumo M² - CESJR'!B21:E21</f>
        <v>Encarregado de Limpeza</v>
      </c>
      <c r="C95" s="1444"/>
      <c r="D95" s="1444"/>
      <c r="E95" s="1444"/>
      <c r="F95" s="1444"/>
      <c r="G95" s="733">
        <f>'Quadro Resumo M² - CESJR'!F21</f>
        <v>1</v>
      </c>
    </row>
    <row r="96" spans="2:8" ht="17.25" thickBot="1" x14ac:dyDescent="0.25">
      <c r="B96" s="1440" t="s">
        <v>449</v>
      </c>
      <c r="C96" s="1441"/>
      <c r="D96" s="1441"/>
      <c r="E96" s="1441"/>
      <c r="F96" s="1442"/>
      <c r="G96" s="145">
        <f>SUM(G88:G95)</f>
        <v>15</v>
      </c>
    </row>
    <row r="97" spans="2:8" ht="16.5" customHeight="1" thickBot="1" x14ac:dyDescent="0.25">
      <c r="B97" s="1437"/>
      <c r="C97" s="1438"/>
      <c r="D97" s="1438"/>
      <c r="E97" s="1438"/>
      <c r="F97" s="1438"/>
      <c r="G97" s="1439"/>
    </row>
    <row r="98" spans="2:8" ht="16.5" x14ac:dyDescent="0.2">
      <c r="B98" s="1434" t="s">
        <v>473</v>
      </c>
      <c r="C98" s="1435"/>
      <c r="D98" s="1435"/>
      <c r="E98" s="1435"/>
      <c r="F98" s="1435"/>
      <c r="G98" s="1436"/>
    </row>
    <row r="99" spans="2:8" ht="16.5" x14ac:dyDescent="0.3">
      <c r="B99" s="1432" t="s">
        <v>499</v>
      </c>
      <c r="C99" s="1433"/>
      <c r="D99" s="1433"/>
      <c r="E99" s="1433"/>
      <c r="F99" s="1433"/>
      <c r="G99" s="734">
        <f ca="1">SUM(G21+G42+G63+G87)</f>
        <v>1731323.52</v>
      </c>
    </row>
    <row r="100" spans="2:8" ht="16.5" x14ac:dyDescent="0.2">
      <c r="B100" s="1432" t="s">
        <v>500</v>
      </c>
      <c r="C100" s="1433"/>
      <c r="D100" s="1433"/>
      <c r="E100" s="1433"/>
      <c r="F100" s="1433"/>
      <c r="G100" s="735">
        <f>G22+G43+H64+H88</f>
        <v>18</v>
      </c>
    </row>
    <row r="101" spans="2:8" ht="16.5" x14ac:dyDescent="0.2">
      <c r="B101" s="1432" t="s">
        <v>507</v>
      </c>
      <c r="C101" s="1433"/>
      <c r="D101" s="1433"/>
      <c r="E101" s="1433"/>
      <c r="F101" s="1433"/>
      <c r="G101" s="735">
        <f>G23+G44+G65+G91</f>
        <v>5</v>
      </c>
    </row>
    <row r="102" spans="2:8" ht="16.5" x14ac:dyDescent="0.2">
      <c r="B102" s="1432" t="s">
        <v>501</v>
      </c>
      <c r="C102" s="1433"/>
      <c r="D102" s="1433"/>
      <c r="E102" s="1433"/>
      <c r="F102" s="1433"/>
      <c r="G102" s="735">
        <f>G66+G92</f>
        <v>2</v>
      </c>
    </row>
    <row r="103" spans="2:8" ht="16.5" x14ac:dyDescent="0.2">
      <c r="B103" s="1432" t="s">
        <v>502</v>
      </c>
      <c r="C103" s="1433"/>
      <c r="D103" s="1433"/>
      <c r="E103" s="1433"/>
      <c r="F103" s="1433"/>
      <c r="G103" s="735">
        <f>G94</f>
        <v>1</v>
      </c>
    </row>
    <row r="104" spans="2:8" ht="16.5" x14ac:dyDescent="0.2">
      <c r="B104" s="1432" t="s">
        <v>503</v>
      </c>
      <c r="C104" s="1433"/>
      <c r="D104" s="1433"/>
      <c r="E104" s="1433"/>
      <c r="F104" s="1433"/>
      <c r="G104" s="735">
        <f>G67</f>
        <v>1</v>
      </c>
    </row>
    <row r="105" spans="2:8" ht="16.5" x14ac:dyDescent="0.2">
      <c r="B105" s="1432" t="s">
        <v>506</v>
      </c>
      <c r="C105" s="1433"/>
      <c r="D105" s="1433"/>
      <c r="E105" s="1433"/>
      <c r="F105" s="1433"/>
      <c r="G105" s="735">
        <f>G93</f>
        <v>1</v>
      </c>
    </row>
    <row r="106" spans="2:8" ht="16.5" x14ac:dyDescent="0.2">
      <c r="B106" s="1432" t="s">
        <v>504</v>
      </c>
      <c r="C106" s="1433"/>
      <c r="D106" s="1433"/>
      <c r="E106" s="1433"/>
      <c r="F106" s="1433"/>
      <c r="G106" s="735">
        <f>G68</f>
        <v>1</v>
      </c>
    </row>
    <row r="107" spans="2:8" ht="16.5" x14ac:dyDescent="0.2">
      <c r="B107" s="1432" t="s">
        <v>505</v>
      </c>
      <c r="C107" s="1433"/>
      <c r="D107" s="1433"/>
      <c r="E107" s="1433"/>
      <c r="F107" s="1433"/>
      <c r="G107" s="735">
        <f>G95</f>
        <v>1</v>
      </c>
      <c r="H107" s="558">
        <f>SUM(G100:G107)</f>
        <v>30</v>
      </c>
    </row>
    <row r="108" spans="2:8" ht="16.5" x14ac:dyDescent="0.3">
      <c r="B108" s="340" t="s">
        <v>160</v>
      </c>
      <c r="C108" s="59"/>
      <c r="D108" s="59"/>
      <c r="E108" s="59"/>
      <c r="F108" s="59"/>
      <c r="G108" s="72"/>
    </row>
    <row r="109" spans="2:8" ht="17.25" thickBot="1" x14ac:dyDescent="0.25">
      <c r="B109" s="1462"/>
      <c r="C109" s="1463"/>
      <c r="D109" s="1463"/>
      <c r="E109" s="1463"/>
      <c r="F109" s="1463"/>
      <c r="G109" s="1464"/>
    </row>
  </sheetData>
  <mergeCells count="96">
    <mergeCell ref="B14:F14"/>
    <mergeCell ref="F27:F28"/>
    <mergeCell ref="B44:F44"/>
    <mergeCell ref="B20:F20"/>
    <mergeCell ref="B35:F35"/>
    <mergeCell ref="B37:F37"/>
    <mergeCell ref="B38:F38"/>
    <mergeCell ref="B39:F39"/>
    <mergeCell ref="B43:F43"/>
    <mergeCell ref="B40:F40"/>
    <mergeCell ref="B41:F41"/>
    <mergeCell ref="B42:F42"/>
    <mergeCell ref="B27:B28"/>
    <mergeCell ref="C27:C28"/>
    <mergeCell ref="B15:F15"/>
    <mergeCell ref="B22:F22"/>
    <mergeCell ref="B1:G1"/>
    <mergeCell ref="B2:G2"/>
    <mergeCell ref="B3:G3"/>
    <mergeCell ref="D6:D7"/>
    <mergeCell ref="E6:E7"/>
    <mergeCell ref="F6:F7"/>
    <mergeCell ref="G6:G7"/>
    <mergeCell ref="B4:G5"/>
    <mergeCell ref="B6:B7"/>
    <mergeCell ref="C6:C7"/>
    <mergeCell ref="B16:F16"/>
    <mergeCell ref="B18:F18"/>
    <mergeCell ref="G27:G28"/>
    <mergeCell ref="B56:F56"/>
    <mergeCell ref="B58:F58"/>
    <mergeCell ref="B36:F36"/>
    <mergeCell ref="D27:D28"/>
    <mergeCell ref="E27:E28"/>
    <mergeCell ref="B45:F45"/>
    <mergeCell ref="B23:F23"/>
    <mergeCell ref="B24:F24"/>
    <mergeCell ref="B25:G26"/>
    <mergeCell ref="B21:F21"/>
    <mergeCell ref="B17:F17"/>
    <mergeCell ref="B19:F19"/>
    <mergeCell ref="B68:F68"/>
    <mergeCell ref="B46:G47"/>
    <mergeCell ref="B48:B49"/>
    <mergeCell ref="C48:C49"/>
    <mergeCell ref="D48:D49"/>
    <mergeCell ref="E48:E49"/>
    <mergeCell ref="F48:F49"/>
    <mergeCell ref="G48:G49"/>
    <mergeCell ref="B57:F57"/>
    <mergeCell ref="B64:F64"/>
    <mergeCell ref="B66:F66"/>
    <mergeCell ref="B67:F67"/>
    <mergeCell ref="B60:F60"/>
    <mergeCell ref="B61:F61"/>
    <mergeCell ref="B59:F59"/>
    <mergeCell ref="B62:F62"/>
    <mergeCell ref="B63:F63"/>
    <mergeCell ref="B102:F102"/>
    <mergeCell ref="B109:G109"/>
    <mergeCell ref="B69:F69"/>
    <mergeCell ref="B99:F99"/>
    <mergeCell ref="B100:F100"/>
    <mergeCell ref="B107:F107"/>
    <mergeCell ref="B101:F101"/>
    <mergeCell ref="B103:F103"/>
    <mergeCell ref="B90:F90"/>
    <mergeCell ref="B93:F93"/>
    <mergeCell ref="B105:F105"/>
    <mergeCell ref="B104:F104"/>
    <mergeCell ref="B65:F65"/>
    <mergeCell ref="B70:G71"/>
    <mergeCell ref="B72:B73"/>
    <mergeCell ref="C72:C73"/>
    <mergeCell ref="D72:D73"/>
    <mergeCell ref="E72:E73"/>
    <mergeCell ref="F72:F73"/>
    <mergeCell ref="G72:G73"/>
    <mergeCell ref="B80:F80"/>
    <mergeCell ref="B81:F81"/>
    <mergeCell ref="B82:F82"/>
    <mergeCell ref="B83:F83"/>
    <mergeCell ref="B86:F86"/>
    <mergeCell ref="B84:F84"/>
    <mergeCell ref="B85:F85"/>
    <mergeCell ref="B87:F87"/>
    <mergeCell ref="B88:F88"/>
    <mergeCell ref="B89:F89"/>
    <mergeCell ref="B91:F91"/>
    <mergeCell ref="B95:F95"/>
    <mergeCell ref="B106:F106"/>
    <mergeCell ref="B98:G98"/>
    <mergeCell ref="B97:G97"/>
    <mergeCell ref="B96:F96"/>
    <mergeCell ref="B92:F92"/>
    <mergeCell ref="B94:F94"/>
  </mergeCells>
  <printOptions horizontalCentered="1"/>
  <pageMargins left="0.51181102362204722" right="0.51181102362204722" top="0.78740157480314965" bottom="0.78740157480314965" header="0.31496062992125984" footer="0.31496062992125984"/>
  <pageSetup paperSize="9" scale="38" orientation="portrait" r:id="rId1"/>
  <colBreaks count="1" manualBreakCount="1">
    <brk id="7" max="1048575" man="1"/>
  </colBreaks>
  <ignoredErrors>
    <ignoredError sqref="G18 G20 G58:G62 G82:G86"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25</vt:i4>
      </vt:variant>
      <vt:variant>
        <vt:lpstr>Intervalos nomeados</vt:lpstr>
      </vt:variant>
      <vt:variant>
        <vt:i4>24</vt:i4>
      </vt:variant>
    </vt:vector>
  </HeadingPairs>
  <TitlesOfParts>
    <vt:vector size="49" baseType="lpstr">
      <vt:lpstr>Observações</vt:lpstr>
      <vt:lpstr>Insumos Diversos</vt:lpstr>
      <vt:lpstr>Uniformes e EPI's</vt:lpstr>
      <vt:lpstr>Agente de Higienização_CEARB</vt:lpstr>
      <vt:lpstr>Jardineiro_CEARB</vt:lpstr>
      <vt:lpstr>Quadro Resumo M² - CEARB</vt:lpstr>
      <vt:lpstr>Agente de Higienização_CEMAR</vt:lpstr>
      <vt:lpstr>Jardineiro_CEMAR</vt:lpstr>
      <vt:lpstr>Quadro Resumo M² - CEMAR</vt:lpstr>
      <vt:lpstr>Agente de Higienização_CEPRE</vt:lpstr>
      <vt:lpstr>Jardineiro_CEPRE</vt:lpstr>
      <vt:lpstr>Tratorista_CEPRE</vt:lpstr>
      <vt:lpstr>Ajudante de Serviços_CEPRE</vt:lpstr>
      <vt:lpstr>Líder_CEPRE</vt:lpstr>
      <vt:lpstr>Quadro Resumo M² - CEPRE</vt:lpstr>
      <vt:lpstr>Agente de Hig_6X1_CESJR</vt:lpstr>
      <vt:lpstr>Agente de Hig_Diuturno_CESJR</vt:lpstr>
      <vt:lpstr>Agente de Hig_5X2_CESJR</vt:lpstr>
      <vt:lpstr>Jardineiro_CESJR</vt:lpstr>
      <vt:lpstr>Tratorista_CESJR</vt:lpstr>
      <vt:lpstr>Buerista_CESJR</vt:lpstr>
      <vt:lpstr>Ajudante de Serviços_CESJR</vt:lpstr>
      <vt:lpstr>Encarregado de Limpeza_CESJR</vt:lpstr>
      <vt:lpstr>Quadro Resumo M² - CESJR</vt:lpstr>
      <vt:lpstr>Quadro Resumo Geral M²</vt:lpstr>
      <vt:lpstr>'Agente de Hig_5X2_CESJR'!Area_de_impressao</vt:lpstr>
      <vt:lpstr>'Agente de Hig_6X1_CESJR'!Area_de_impressao</vt:lpstr>
      <vt:lpstr>'Agente de Hig_Diuturno_CESJR'!Area_de_impressao</vt:lpstr>
      <vt:lpstr>'Agente de Higienização_CEARB'!Area_de_impressao</vt:lpstr>
      <vt:lpstr>'Agente de Higienização_CEMAR'!Area_de_impressao</vt:lpstr>
      <vt:lpstr>'Agente de Higienização_CEPRE'!Area_de_impressao</vt:lpstr>
      <vt:lpstr>'Ajudante de Serviços_CEPRE'!Area_de_impressao</vt:lpstr>
      <vt:lpstr>'Ajudante de Serviços_CESJR'!Area_de_impressao</vt:lpstr>
      <vt:lpstr>Buerista_CESJR!Area_de_impressao</vt:lpstr>
      <vt:lpstr>'Encarregado de Limpeza_CESJR'!Area_de_impressao</vt:lpstr>
      <vt:lpstr>'Insumos Diversos'!Area_de_impressao</vt:lpstr>
      <vt:lpstr>Jardineiro_CEARB!Area_de_impressao</vt:lpstr>
      <vt:lpstr>Jardineiro_CEMAR!Area_de_impressao</vt:lpstr>
      <vt:lpstr>Jardineiro_CEPRE!Area_de_impressao</vt:lpstr>
      <vt:lpstr>Jardineiro_CESJR!Area_de_impressao</vt:lpstr>
      <vt:lpstr>Líder_CEPRE!Area_de_impressao</vt:lpstr>
      <vt:lpstr>'Quadro Resumo Geral M²'!Area_de_impressao</vt:lpstr>
      <vt:lpstr>'Quadro Resumo M² - CEARB'!Area_de_impressao</vt:lpstr>
      <vt:lpstr>'Quadro Resumo M² - CEMAR'!Area_de_impressao</vt:lpstr>
      <vt:lpstr>'Quadro Resumo M² - CEPRE'!Area_de_impressao</vt:lpstr>
      <vt:lpstr>'Quadro Resumo M² - CESJR'!Area_de_impressao</vt:lpstr>
      <vt:lpstr>Tratorista_CEPRE!Area_de_impressao</vt:lpstr>
      <vt:lpstr>Tratorista_CESJR!Area_de_impressao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Henrique da Silva Sales Vaz Pinto</cp:lastModifiedBy>
  <cp:lastPrinted>2025-12-18T17:46:34Z</cp:lastPrinted>
  <dcterms:created xsi:type="dcterms:W3CDTF">2013-10-22T12:23:02Z</dcterms:created>
  <dcterms:modified xsi:type="dcterms:W3CDTF">2026-02-24T18:49:13Z</dcterms:modified>
</cp:coreProperties>
</file>