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2.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drawings/drawing3.xml" ContentType="application/vnd.openxmlformats-officedocument.drawing+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25_25 Limpeza Entreposto do Interior\Planilhas Edital_Portal\"/>
    </mc:Choice>
  </mc:AlternateContent>
  <bookViews>
    <workbookView xWindow="0" yWindow="0" windowWidth="20460" windowHeight="7680" tabRatio="949"/>
  </bookViews>
  <sheets>
    <sheet name="Observações" sheetId="126" r:id="rId1"/>
    <sheet name="Insumos Diversos" sheetId="190" r:id="rId2"/>
    <sheet name="Uniformes e EPI's" sheetId="158" r:id="rId3"/>
    <sheet name="Agente de Higienização_CEGUA" sheetId="99" r:id="rId4"/>
    <sheet name="Jardineiro_CEGUA" sheetId="148" r:id="rId5"/>
    <sheet name="Quadro Resumo M² - CEGUA" sheetId="165" r:id="rId6"/>
    <sheet name="Agente de Higienização_CEPIR" sheetId="173" r:id="rId7"/>
    <sheet name="Jardineiro_CEPIR" sheetId="174" r:id="rId8"/>
    <sheet name="Ajud. de Serv. Diversos_CEPIR" sheetId="175" r:id="rId9"/>
    <sheet name="Quadro Resumo M² - CEPIR" sheetId="177" r:id="rId10"/>
    <sheet name="Agente de Hig_CESJC_Diuturno" sheetId="180" r:id="rId11"/>
    <sheet name="Agente de Higienização_CESJC" sheetId="193" r:id="rId12"/>
    <sheet name="Jardineiro_CESJC" sheetId="181" r:id="rId13"/>
    <sheet name="Líder_CESJC" sheetId="186" r:id="rId14"/>
    <sheet name="Quadro Resumo M² - CESJC" sheetId="187" r:id="rId15"/>
    <sheet name="Agente de Hig_div_turnos_CESOR" sheetId="195" r:id="rId16"/>
    <sheet name="Agente de Hig_Diuturno_CESOR" sheetId="196" r:id="rId17"/>
    <sheet name="Jardineiro_CESOR" sheetId="197" r:id="rId18"/>
    <sheet name="Tratorista_CESOR" sheetId="198" r:id="rId19"/>
    <sheet name="Ajudante de Tratorista_CESOR" sheetId="199" r:id="rId20"/>
    <sheet name="Encarregado de Limpeza_CESOR" sheetId="200" r:id="rId21"/>
    <sheet name="Quadro Resumo M² - CESOR" sheetId="201" r:id="rId22"/>
    <sheet name="Quadro Resumo Geral M²" sheetId="189" r:id="rId23"/>
  </sheets>
  <externalReferences>
    <externalReference r:id="rId24"/>
  </externalReferences>
  <definedNames>
    <definedName name="_xlnm.Print_Area" localSheetId="10">'Agente de Hig_CESJC_Diuturno'!$A$1:$G$140</definedName>
    <definedName name="_xlnm.Print_Area" localSheetId="16">'Agente de Hig_Diuturno_CESOR'!$A$1:$G$140</definedName>
    <definedName name="_xlnm.Print_Area" localSheetId="15">'Agente de Hig_div_turnos_CESOR'!$A$1:$G$140</definedName>
    <definedName name="_xlnm.Print_Area" localSheetId="3">'Agente de Higienização_CEGUA'!$A$1:$G$140</definedName>
    <definedName name="_xlnm.Print_Area" localSheetId="6">'Agente de Higienização_CEPIR'!$A$1:$G$140</definedName>
    <definedName name="_xlnm.Print_Area" localSheetId="11">'Agente de Higienização_CESJC'!$A$1:$G$140</definedName>
    <definedName name="_xlnm.Print_Area" localSheetId="8">'Ajud. de Serv. Diversos_CEPIR'!$A$1:$G$143</definedName>
    <definedName name="_xlnm.Print_Area" localSheetId="19">'Ajudante de Tratorista_CESOR'!$A$1:$G$140</definedName>
    <definedName name="_xlnm.Print_Area" localSheetId="20">'Encarregado de Limpeza_CESOR'!$A$1:$G$140</definedName>
    <definedName name="_xlnm.Print_Area" localSheetId="1">'Insumos Diversos'!$A$1:$K$145</definedName>
    <definedName name="_xlnm.Print_Area" localSheetId="4">Jardineiro_CEGUA!$A$1:$G$140</definedName>
    <definedName name="_xlnm.Print_Area" localSheetId="7">Jardineiro_CEPIR!$A$1:$G$140</definedName>
    <definedName name="_xlnm.Print_Area" localSheetId="12">Jardineiro_CESJC!$A$1:$G$140</definedName>
    <definedName name="_xlnm.Print_Area" localSheetId="17">Jardineiro_CESOR!$A$1:$G$140</definedName>
    <definedName name="_xlnm.Print_Area" localSheetId="13">Líder_CESJC!$A$1:$G$140</definedName>
    <definedName name="_xlnm.Print_Area" localSheetId="22">'Quadro Resumo Geral M²'!$B$1:$G$98</definedName>
    <definedName name="_xlnm.Print_Area" localSheetId="5">'Quadro Resumo M² - CEGUA'!$B$1:$H$65</definedName>
    <definedName name="_xlnm.Print_Area" localSheetId="9">'Quadro Resumo M² - CEPIR'!$B$1:$H$72</definedName>
    <definedName name="_xlnm.Print_Area" localSheetId="14">'Quadro Resumo M² - CESJC'!$B$1:$H$81</definedName>
    <definedName name="_xlnm.Print_Area" localSheetId="21">'Quadro Resumo M² - CESOR'!$B$1:$H$104</definedName>
    <definedName name="_xlnm.Print_Area" localSheetId="18">Tratorista_CESOR!$A$1:$G$140</definedName>
    <definedName name="_xlnm.Print_Area" localSheetId="2">'Uniformes e EPI''s'!$A$1:$K$39</definedName>
    <definedName name="EQUIPTOS" localSheetId="10">'[1]Equipamentos e material'!#REF!</definedName>
    <definedName name="EQUIPTOS" localSheetId="16">'[1]Equipamentos e material'!#REF!</definedName>
    <definedName name="EQUIPTOS" localSheetId="15">'[1]Equipamentos e material'!#REF!</definedName>
    <definedName name="EQUIPTOS" localSheetId="6">'[1]Equipamentos e material'!#REF!</definedName>
    <definedName name="EQUIPTOS" localSheetId="11">'[1]Equipamentos e material'!#REF!</definedName>
    <definedName name="EQUIPTOS" localSheetId="8">'[1]Equipamentos e material'!#REF!</definedName>
    <definedName name="EQUIPTOS" localSheetId="19">'[1]Equipamentos e material'!#REF!</definedName>
    <definedName name="EQUIPTOS" localSheetId="20">'[1]Equipamentos e material'!#REF!</definedName>
    <definedName name="EQUIPTOS" localSheetId="1">'[1]Equipamentos e material'!#REF!</definedName>
    <definedName name="EQUIPTOS" localSheetId="4">'[1]Equipamentos e material'!#REF!</definedName>
    <definedName name="EQUIPTOS" localSheetId="7">'[1]Equipamentos e material'!#REF!</definedName>
    <definedName name="EQUIPTOS" localSheetId="12">'[1]Equipamentos e material'!#REF!</definedName>
    <definedName name="EQUIPTOS" localSheetId="17">'[1]Equipamentos e material'!#REF!</definedName>
    <definedName name="EQUIPTOS" localSheetId="13">'[1]Equipamentos e material'!#REF!</definedName>
    <definedName name="EQUIPTOS" localSheetId="5">'[1]Equipamentos e material'!#REF!</definedName>
    <definedName name="EQUIPTOS" localSheetId="9">'[1]Equipamentos e material'!#REF!</definedName>
    <definedName name="EQUIPTOS" localSheetId="14">'[1]Equipamentos e material'!#REF!</definedName>
    <definedName name="EQUIPTOS" localSheetId="18">'[1]Equipamentos e material'!#REF!</definedName>
    <definedName name="EQUIPTOS">'[1]Equipamentos e material'!#REF!</definedName>
    <definedName name="Excel_BuiltIn_Print_Area_1" localSheetId="10">#REF!</definedName>
    <definedName name="Excel_BuiltIn_Print_Area_1" localSheetId="16">#REF!</definedName>
    <definedName name="Excel_BuiltIn_Print_Area_1" localSheetId="15">#REF!</definedName>
    <definedName name="Excel_BuiltIn_Print_Area_1" localSheetId="6">#REF!</definedName>
    <definedName name="Excel_BuiltIn_Print_Area_1" localSheetId="11">#REF!</definedName>
    <definedName name="Excel_BuiltIn_Print_Area_1" localSheetId="8">#REF!</definedName>
    <definedName name="Excel_BuiltIn_Print_Area_1" localSheetId="19">#REF!</definedName>
    <definedName name="Excel_BuiltIn_Print_Area_1" localSheetId="20">#REF!</definedName>
    <definedName name="Excel_BuiltIn_Print_Area_1" localSheetId="1">#REF!</definedName>
    <definedName name="Excel_BuiltIn_Print_Area_1" localSheetId="4">#REF!</definedName>
    <definedName name="Excel_BuiltIn_Print_Area_1" localSheetId="7">#REF!</definedName>
    <definedName name="Excel_BuiltIn_Print_Area_1" localSheetId="12">#REF!</definedName>
    <definedName name="Excel_BuiltIn_Print_Area_1" localSheetId="17">#REF!</definedName>
    <definedName name="Excel_BuiltIn_Print_Area_1" localSheetId="13">#REF!</definedName>
    <definedName name="Excel_BuiltIn_Print_Area_1" localSheetId="5">#REF!</definedName>
    <definedName name="Excel_BuiltIn_Print_Area_1" localSheetId="9">#REF!</definedName>
    <definedName name="Excel_BuiltIn_Print_Area_1" localSheetId="14">#REF!</definedName>
    <definedName name="Excel_BuiltIn_Print_Area_1" localSheetId="18">#REF!</definedName>
    <definedName name="Excel_BuiltIn_Print_Area_1">#REF!</definedName>
    <definedName name="Excel_BuiltIn_Print_Area_2" localSheetId="10">#REF!</definedName>
    <definedName name="Excel_BuiltIn_Print_Area_2" localSheetId="16">#REF!</definedName>
    <definedName name="Excel_BuiltIn_Print_Area_2" localSheetId="15">#REF!</definedName>
    <definedName name="Excel_BuiltIn_Print_Area_2" localSheetId="6">#REF!</definedName>
    <definedName name="Excel_BuiltIn_Print_Area_2" localSheetId="11">#REF!</definedName>
    <definedName name="Excel_BuiltIn_Print_Area_2" localSheetId="8">#REF!</definedName>
    <definedName name="Excel_BuiltIn_Print_Area_2" localSheetId="19">#REF!</definedName>
    <definedName name="Excel_BuiltIn_Print_Area_2" localSheetId="20">#REF!</definedName>
    <definedName name="Excel_BuiltIn_Print_Area_2" localSheetId="1">#REF!</definedName>
    <definedName name="Excel_BuiltIn_Print_Area_2" localSheetId="4">#REF!</definedName>
    <definedName name="Excel_BuiltIn_Print_Area_2" localSheetId="7">#REF!</definedName>
    <definedName name="Excel_BuiltIn_Print_Area_2" localSheetId="12">#REF!</definedName>
    <definedName name="Excel_BuiltIn_Print_Area_2" localSheetId="17">#REF!</definedName>
    <definedName name="Excel_BuiltIn_Print_Area_2" localSheetId="13">#REF!</definedName>
    <definedName name="Excel_BuiltIn_Print_Area_2" localSheetId="5">#REF!</definedName>
    <definedName name="Excel_BuiltIn_Print_Area_2" localSheetId="9">#REF!</definedName>
    <definedName name="Excel_BuiltIn_Print_Area_2" localSheetId="14">#REF!</definedName>
    <definedName name="Excel_BuiltIn_Print_Area_2" localSheetId="18">#REF!</definedName>
    <definedName name="Excel_BuiltIn_Print_Area_2">#REF!</definedName>
  </definedNames>
  <calcPr calcId="152511" iterate="1" fullPrecision="0"/>
</workbook>
</file>

<file path=xl/calcChain.xml><?xml version="1.0" encoding="utf-8"?>
<calcChain xmlns="http://schemas.openxmlformats.org/spreadsheetml/2006/main">
  <c r="F98" i="148" l="1"/>
  <c r="F98" i="173"/>
  <c r="F98" i="174"/>
  <c r="F98" i="175"/>
  <c r="F98" i="180"/>
  <c r="F98" i="193"/>
  <c r="F98" i="181"/>
  <c r="F98" i="186"/>
  <c r="F98" i="195"/>
  <c r="F98" i="196"/>
  <c r="F98" i="197"/>
  <c r="F98" i="198"/>
  <c r="F98" i="199"/>
  <c r="F98" i="200"/>
  <c r="F98" i="99"/>
  <c r="F90" i="175"/>
  <c r="F88" i="148"/>
  <c r="F88" i="173"/>
  <c r="F88" i="174"/>
  <c r="F88" i="175"/>
  <c r="F88" i="180"/>
  <c r="F88" i="193"/>
  <c r="F88" i="181"/>
  <c r="F88" i="186"/>
  <c r="F88" i="195"/>
  <c r="F88" i="196"/>
  <c r="F88" i="197"/>
  <c r="F88" i="198"/>
  <c r="F88" i="199"/>
  <c r="F88" i="200"/>
  <c r="F88" i="99"/>
  <c r="F85" i="148"/>
  <c r="F85" i="173"/>
  <c r="F85" i="174"/>
  <c r="F85" i="175"/>
  <c r="F85" i="180"/>
  <c r="F85" i="193"/>
  <c r="F85" i="181"/>
  <c r="F85" i="186"/>
  <c r="F85" i="195"/>
  <c r="F85" i="196"/>
  <c r="F85" i="197"/>
  <c r="F85" i="198"/>
  <c r="F85" i="199"/>
  <c r="F85" i="200"/>
  <c r="F85" i="99"/>
  <c r="F83" i="148"/>
  <c r="F83" i="173"/>
  <c r="F83" i="174"/>
  <c r="F83" i="175"/>
  <c r="F83" i="180"/>
  <c r="F83" i="193"/>
  <c r="F83" i="181"/>
  <c r="F83" i="186"/>
  <c r="F83" i="195"/>
  <c r="F83" i="196"/>
  <c r="F83" i="197"/>
  <c r="F83" i="198"/>
  <c r="F83" i="199"/>
  <c r="F83" i="200"/>
  <c r="F83" i="99"/>
  <c r="F82" i="148"/>
  <c r="F82" i="173"/>
  <c r="F82" i="174"/>
  <c r="F82" i="175"/>
  <c r="F82" i="180"/>
  <c r="F82" i="193"/>
  <c r="F82" i="181"/>
  <c r="F82" i="186"/>
  <c r="F82" i="195"/>
  <c r="F82" i="196"/>
  <c r="F82" i="197"/>
  <c r="F82" i="198"/>
  <c r="F82" i="199"/>
  <c r="F82" i="200"/>
  <c r="F82" i="99"/>
  <c r="F81" i="148"/>
  <c r="F81" i="173"/>
  <c r="F81" i="174"/>
  <c r="F81" i="175"/>
  <c r="F81" i="180"/>
  <c r="F81" i="193"/>
  <c r="F81" i="181"/>
  <c r="F81" i="186"/>
  <c r="F81" i="195"/>
  <c r="F81" i="196"/>
  <c r="F81" i="197"/>
  <c r="F81" i="198"/>
  <c r="F81" i="199"/>
  <c r="F81" i="200"/>
  <c r="F81" i="99"/>
  <c r="F74" i="148"/>
  <c r="F74" i="173"/>
  <c r="F74" i="174"/>
  <c r="F74" i="175"/>
  <c r="F74" i="180"/>
  <c r="F74" i="193"/>
  <c r="F74" i="181"/>
  <c r="F74" i="186"/>
  <c r="F74" i="195"/>
  <c r="F74" i="196"/>
  <c r="F74" i="197"/>
  <c r="F74" i="198"/>
  <c r="F74" i="199"/>
  <c r="F74" i="200"/>
  <c r="F74" i="99"/>
  <c r="F73" i="148"/>
  <c r="F73" i="173"/>
  <c r="F73" i="174"/>
  <c r="F73" i="175"/>
  <c r="F73" i="180"/>
  <c r="F73" i="193"/>
  <c r="F73" i="181"/>
  <c r="F73" i="186"/>
  <c r="F73" i="195"/>
  <c r="F73" i="196"/>
  <c r="F73" i="197"/>
  <c r="F73" i="198"/>
  <c r="F73" i="199"/>
  <c r="F73" i="200"/>
  <c r="F73" i="99"/>
  <c r="F72" i="175"/>
  <c r="F72" i="186"/>
  <c r="F71" i="148"/>
  <c r="F72" i="148" s="1"/>
  <c r="F71" i="173"/>
  <c r="F72" i="173" s="1"/>
  <c r="F71" i="174"/>
  <c r="F72" i="174" s="1"/>
  <c r="F71" i="175"/>
  <c r="F71" i="180"/>
  <c r="F72" i="180" s="1"/>
  <c r="F71" i="193"/>
  <c r="F72" i="193" s="1"/>
  <c r="F71" i="181"/>
  <c r="F72" i="181" s="1"/>
  <c r="F71" i="186"/>
  <c r="F71" i="195"/>
  <c r="F72" i="195" s="1"/>
  <c r="F71" i="196"/>
  <c r="F72" i="196" s="1"/>
  <c r="F71" i="197"/>
  <c r="F72" i="197" s="1"/>
  <c r="F71" i="198"/>
  <c r="F72" i="198" s="1"/>
  <c r="F71" i="199"/>
  <c r="F72" i="199" s="1"/>
  <c r="F71" i="200"/>
  <c r="F72" i="200" s="1"/>
  <c r="F71" i="99"/>
  <c r="F72" i="99" s="1"/>
  <c r="E57" i="148"/>
  <c r="E57" i="173"/>
  <c r="E57" i="174"/>
  <c r="E57" i="175"/>
  <c r="E57" i="180"/>
  <c r="E57" i="193"/>
  <c r="E57" i="181"/>
  <c r="E57" i="186"/>
  <c r="E57" i="195"/>
  <c r="E57" i="196"/>
  <c r="E57" i="197"/>
  <c r="E57" i="198"/>
  <c r="E57" i="199"/>
  <c r="E57" i="200"/>
  <c r="E57" i="99"/>
  <c r="K99" i="190"/>
  <c r="K100" i="190"/>
  <c r="K101" i="190"/>
  <c r="K102" i="190"/>
  <c r="K98" i="190"/>
  <c r="E59" i="175" l="1"/>
  <c r="E59" i="173"/>
  <c r="E58" i="175"/>
  <c r="E58" i="173"/>
  <c r="E54" i="175"/>
  <c r="E54" i="173"/>
  <c r="B63" i="177" l="1"/>
  <c r="C30" i="177" l="1"/>
  <c r="D49" i="189"/>
  <c r="D50" i="189"/>
  <c r="D51" i="189"/>
  <c r="D52" i="189"/>
  <c r="D53" i="189"/>
  <c r="D54" i="189"/>
  <c r="G43" i="189"/>
  <c r="G96" i="189" s="1"/>
  <c r="B43" i="189"/>
  <c r="G42" i="189"/>
  <c r="B42" i="189"/>
  <c r="G41" i="189"/>
  <c r="B41" i="189"/>
  <c r="D11" i="189"/>
  <c r="D12" i="189"/>
  <c r="D13" i="189"/>
  <c r="C12" i="189"/>
  <c r="C28" i="165"/>
  <c r="D52" i="165"/>
  <c r="F52" i="165" s="1"/>
  <c r="C35" i="187" l="1"/>
  <c r="C36" i="187"/>
  <c r="C34" i="187"/>
  <c r="C39" i="201"/>
  <c r="C40" i="201"/>
  <c r="C38" i="201"/>
  <c r="C64" i="201"/>
  <c r="C62" i="201"/>
  <c r="C63" i="201"/>
  <c r="C61" i="201"/>
  <c r="D51" i="187"/>
  <c r="D52" i="187"/>
  <c r="D50" i="187"/>
  <c r="D55" i="201"/>
  <c r="D56" i="201"/>
  <c r="D54" i="201"/>
  <c r="C56" i="201"/>
  <c r="C55" i="201"/>
  <c r="E55" i="201"/>
  <c r="E56" i="201"/>
  <c r="C54" i="201"/>
  <c r="C48" i="201"/>
  <c r="C47" i="201"/>
  <c r="C43" i="201"/>
  <c r="C44" i="201"/>
  <c r="C34" i="201"/>
  <c r="C33" i="201"/>
  <c r="C32" i="201"/>
  <c r="F19" i="201"/>
  <c r="G87" i="189" s="1"/>
  <c r="G98" i="189" s="1"/>
  <c r="B19" i="201"/>
  <c r="F18" i="201"/>
  <c r="G86" i="189" s="1"/>
  <c r="G95" i="189" s="1"/>
  <c r="B18" i="201"/>
  <c r="F17" i="201"/>
  <c r="G85" i="189" s="1"/>
  <c r="G94" i="189" s="1"/>
  <c r="B17" i="201"/>
  <c r="F16" i="201"/>
  <c r="G84" i="189" s="1"/>
  <c r="B16" i="201"/>
  <c r="F15" i="201"/>
  <c r="G83" i="189" s="1"/>
  <c r="B15" i="201"/>
  <c r="F14" i="201"/>
  <c r="G82" i="189" s="1"/>
  <c r="B14" i="201"/>
  <c r="D74" i="201"/>
  <c r="D73" i="201"/>
  <c r="D72" i="201"/>
  <c r="D71" i="201"/>
  <c r="D70" i="201"/>
  <c r="D69" i="201"/>
  <c r="E54" i="201"/>
  <c r="E13" i="201"/>
  <c r="F13" i="201" s="1"/>
  <c r="E12" i="201"/>
  <c r="E11" i="201"/>
  <c r="E10" i="201"/>
  <c r="E9" i="201"/>
  <c r="E8" i="201"/>
  <c r="F140" i="200"/>
  <c r="F127" i="200"/>
  <c r="F128" i="200" s="1"/>
  <c r="G115" i="200"/>
  <c r="G114" i="200"/>
  <c r="G113" i="200"/>
  <c r="G112" i="200"/>
  <c r="G111" i="200"/>
  <c r="G110" i="200"/>
  <c r="B109" i="200"/>
  <c r="B108" i="200"/>
  <c r="F94" i="200"/>
  <c r="F86" i="200"/>
  <c r="F102" i="200" s="1"/>
  <c r="G61" i="200"/>
  <c r="G60" i="200"/>
  <c r="E59" i="200"/>
  <c r="G59" i="200" s="1"/>
  <c r="E58" i="200"/>
  <c r="G58" i="200" s="1"/>
  <c r="G57" i="200"/>
  <c r="G56" i="200"/>
  <c r="G55" i="200"/>
  <c r="E54" i="200"/>
  <c r="G54" i="200" s="1"/>
  <c r="F51" i="200"/>
  <c r="F38" i="200"/>
  <c r="F37" i="200"/>
  <c r="F39" i="200" s="1"/>
  <c r="F32" i="200"/>
  <c r="G32" i="200" s="1"/>
  <c r="F31" i="200"/>
  <c r="G31" i="200" s="1"/>
  <c r="G30" i="200"/>
  <c r="G29" i="200"/>
  <c r="G28" i="200"/>
  <c r="G27" i="200"/>
  <c r="G53" i="200" s="1"/>
  <c r="G63" i="200" s="1"/>
  <c r="G67" i="200" s="1"/>
  <c r="F140" i="199"/>
  <c r="F127" i="199"/>
  <c r="F128" i="199" s="1"/>
  <c r="G115" i="199"/>
  <c r="G114" i="199"/>
  <c r="G113" i="199"/>
  <c r="G112" i="199"/>
  <c r="G111" i="199"/>
  <c r="G110" i="199"/>
  <c r="B109" i="199"/>
  <c r="B108" i="199"/>
  <c r="F94" i="199"/>
  <c r="F86" i="199"/>
  <c r="F102" i="199" s="1"/>
  <c r="G61" i="199"/>
  <c r="G60" i="199"/>
  <c r="E59" i="199"/>
  <c r="G59" i="199" s="1"/>
  <c r="E58" i="199"/>
  <c r="G58" i="199" s="1"/>
  <c r="G57" i="199"/>
  <c r="G56" i="199"/>
  <c r="E55" i="199"/>
  <c r="G55" i="199" s="1"/>
  <c r="E54" i="199"/>
  <c r="G54" i="199" s="1"/>
  <c r="F51" i="199"/>
  <c r="F38" i="199"/>
  <c r="F37" i="199"/>
  <c r="G31" i="199"/>
  <c r="F31" i="199"/>
  <c r="F32" i="199" s="1"/>
  <c r="G32" i="199" s="1"/>
  <c r="G30" i="199"/>
  <c r="G29" i="199"/>
  <c r="G28" i="199"/>
  <c r="G27" i="199"/>
  <c r="G53" i="199" s="1"/>
  <c r="F140" i="198"/>
  <c r="F127" i="198"/>
  <c r="F128" i="198" s="1"/>
  <c r="G115" i="198"/>
  <c r="G114" i="198"/>
  <c r="G113" i="198"/>
  <c r="G112" i="198"/>
  <c r="G111" i="198"/>
  <c r="G110" i="198"/>
  <c r="B109" i="198"/>
  <c r="B108" i="198"/>
  <c r="F94" i="198"/>
  <c r="F95" i="198" s="1"/>
  <c r="F86" i="198"/>
  <c r="F102" i="198" s="1"/>
  <c r="F75" i="198"/>
  <c r="G61" i="198"/>
  <c r="G60" i="198"/>
  <c r="E59" i="198"/>
  <c r="G59" i="198" s="1"/>
  <c r="E58" i="198"/>
  <c r="G58" i="198" s="1"/>
  <c r="G57" i="198"/>
  <c r="G56" i="198"/>
  <c r="E55" i="198"/>
  <c r="G55" i="198" s="1"/>
  <c r="G54" i="198"/>
  <c r="E54" i="198"/>
  <c r="F51" i="198"/>
  <c r="F38" i="198"/>
  <c r="F37" i="198"/>
  <c r="F31" i="198"/>
  <c r="F32" i="198" s="1"/>
  <c r="G32" i="198" s="1"/>
  <c r="G30" i="198"/>
  <c r="G29" i="198"/>
  <c r="G28" i="198"/>
  <c r="G27" i="198"/>
  <c r="G53" i="198" s="1"/>
  <c r="F140" i="197"/>
  <c r="F127" i="197"/>
  <c r="F128" i="197" s="1"/>
  <c r="G115" i="197"/>
  <c r="G114" i="197"/>
  <c r="G113" i="197"/>
  <c r="G112" i="197"/>
  <c r="G111" i="197"/>
  <c r="G110" i="197"/>
  <c r="B109" i="197"/>
  <c r="B108" i="197"/>
  <c r="F99" i="197"/>
  <c r="F100" i="197" s="1"/>
  <c r="F105" i="197" s="1"/>
  <c r="F94" i="197"/>
  <c r="F86" i="197"/>
  <c r="F102" i="197" s="1"/>
  <c r="G61" i="197"/>
  <c r="G60" i="197"/>
  <c r="E59" i="197"/>
  <c r="G59" i="197" s="1"/>
  <c r="E58" i="197"/>
  <c r="G58" i="197" s="1"/>
  <c r="G57" i="197"/>
  <c r="G56" i="197"/>
  <c r="E55" i="197"/>
  <c r="G55" i="197" s="1"/>
  <c r="E54" i="197"/>
  <c r="G54" i="197" s="1"/>
  <c r="F51" i="197"/>
  <c r="F38" i="197"/>
  <c r="F37" i="197"/>
  <c r="F31" i="197"/>
  <c r="F32" i="197" s="1"/>
  <c r="G32" i="197" s="1"/>
  <c r="G30" i="197"/>
  <c r="G29" i="197"/>
  <c r="G28" i="197"/>
  <c r="G27" i="197"/>
  <c r="F31" i="196"/>
  <c r="F32" i="196" s="1"/>
  <c r="G32" i="196" s="1"/>
  <c r="F140" i="196"/>
  <c r="F127" i="196"/>
  <c r="F128" i="196" s="1"/>
  <c r="G115" i="196"/>
  <c r="G114" i="196"/>
  <c r="G113" i="196"/>
  <c r="G112" i="196"/>
  <c r="G111" i="196"/>
  <c r="G110" i="196"/>
  <c r="B109" i="196"/>
  <c r="B108" i="196"/>
  <c r="F94" i="196"/>
  <c r="F86" i="196"/>
  <c r="F102" i="196" s="1"/>
  <c r="G61" i="196"/>
  <c r="G60" i="196"/>
  <c r="E59" i="196"/>
  <c r="G59" i="196" s="1"/>
  <c r="E58" i="196"/>
  <c r="G58" i="196" s="1"/>
  <c r="G57" i="196"/>
  <c r="G56" i="196"/>
  <c r="G55" i="196"/>
  <c r="E54" i="196"/>
  <c r="G54" i="196" s="1"/>
  <c r="G53" i="196"/>
  <c r="F51" i="196"/>
  <c r="F38" i="196"/>
  <c r="F37" i="196"/>
  <c r="F39" i="196" s="1"/>
  <c r="G30" i="196"/>
  <c r="G29" i="196"/>
  <c r="G28" i="196"/>
  <c r="G27" i="196"/>
  <c r="F140" i="195"/>
  <c r="F127" i="195"/>
  <c r="F128" i="195" s="1"/>
  <c r="G115" i="195"/>
  <c r="G114" i="195"/>
  <c r="G113" i="195"/>
  <c r="G112" i="195"/>
  <c r="G111" i="195"/>
  <c r="G110" i="195"/>
  <c r="B109" i="195"/>
  <c r="B108" i="195"/>
  <c r="F94" i="195"/>
  <c r="F95" i="195" s="1"/>
  <c r="F86" i="195"/>
  <c r="F102" i="195" s="1"/>
  <c r="F66" i="195"/>
  <c r="G61" i="195"/>
  <c r="G60" i="195"/>
  <c r="E59" i="195"/>
  <c r="G59" i="195" s="1"/>
  <c r="E58" i="195"/>
  <c r="G58" i="195" s="1"/>
  <c r="G57" i="195"/>
  <c r="G56" i="195"/>
  <c r="G55" i="195"/>
  <c r="E54" i="195"/>
  <c r="G54" i="195" s="1"/>
  <c r="F51" i="195"/>
  <c r="F38" i="195"/>
  <c r="F37" i="195"/>
  <c r="F39" i="195" s="1"/>
  <c r="F31" i="195"/>
  <c r="F32" i="195" s="1"/>
  <c r="G32" i="195" s="1"/>
  <c r="G30" i="195"/>
  <c r="G29" i="195"/>
  <c r="G28" i="195"/>
  <c r="G27" i="195"/>
  <c r="G53" i="195" s="1"/>
  <c r="C58" i="187"/>
  <c r="C51" i="187"/>
  <c r="E51" i="187"/>
  <c r="C50" i="187"/>
  <c r="C30" i="187"/>
  <c r="C29" i="187"/>
  <c r="C28" i="187"/>
  <c r="F89" i="196" l="1"/>
  <c r="F92" i="196" s="1"/>
  <c r="F103" i="196" s="1"/>
  <c r="F90" i="196"/>
  <c r="F39" i="197"/>
  <c r="F39" i="198"/>
  <c r="F40" i="198" s="1"/>
  <c r="F39" i="199"/>
  <c r="F95" i="200"/>
  <c r="F90" i="200"/>
  <c r="B24" i="201"/>
  <c r="B47" i="201" s="1"/>
  <c r="B83" i="189"/>
  <c r="B28" i="201"/>
  <c r="B40" i="201" s="1"/>
  <c r="B87" i="189"/>
  <c r="H83" i="189"/>
  <c r="G88" i="189"/>
  <c r="F99" i="199"/>
  <c r="F90" i="199"/>
  <c r="B27" i="201"/>
  <c r="B63" i="201" s="1"/>
  <c r="B86" i="189"/>
  <c r="F40" i="195"/>
  <c r="F90" i="195"/>
  <c r="F66" i="197"/>
  <c r="F90" i="197"/>
  <c r="F90" i="198"/>
  <c r="B25" i="201"/>
  <c r="B61" i="201" s="1"/>
  <c r="B84" i="189"/>
  <c r="B23" i="201"/>
  <c r="B38" i="201" s="1"/>
  <c r="B82" i="189"/>
  <c r="B26" i="201"/>
  <c r="B62" i="201" s="1"/>
  <c r="B85" i="189"/>
  <c r="F66" i="196"/>
  <c r="F75" i="197"/>
  <c r="F77" i="197" s="1"/>
  <c r="G63" i="195"/>
  <c r="G67" i="195" s="1"/>
  <c r="F66" i="199"/>
  <c r="F89" i="199"/>
  <c r="F66" i="200"/>
  <c r="F89" i="200"/>
  <c r="F99" i="198"/>
  <c r="F100" i="198" s="1"/>
  <c r="F105" i="198" s="1"/>
  <c r="F75" i="196"/>
  <c r="F77" i="196" s="1"/>
  <c r="F95" i="196"/>
  <c r="F96" i="196" s="1"/>
  <c r="F104" i="196" s="1"/>
  <c r="F96" i="200"/>
  <c r="F104" i="200" s="1"/>
  <c r="F89" i="195"/>
  <c r="F92" i="195" s="1"/>
  <c r="F103" i="195" s="1"/>
  <c r="F89" i="197"/>
  <c r="F75" i="199"/>
  <c r="F95" i="199"/>
  <c r="F96" i="199" s="1"/>
  <c r="F104" i="199" s="1"/>
  <c r="F75" i="200"/>
  <c r="F99" i="196"/>
  <c r="F100" i="196" s="1"/>
  <c r="F105" i="196" s="1"/>
  <c r="F66" i="198"/>
  <c r="F100" i="199"/>
  <c r="F105" i="199" s="1"/>
  <c r="F75" i="195"/>
  <c r="F77" i="195" s="1"/>
  <c r="F96" i="195"/>
  <c r="F104" i="195" s="1"/>
  <c r="F77" i="198"/>
  <c r="F89" i="198"/>
  <c r="F92" i="198" s="1"/>
  <c r="F103" i="198" s="1"/>
  <c r="F70" i="201"/>
  <c r="D71" i="189"/>
  <c r="F71" i="189" s="1"/>
  <c r="F71" i="201"/>
  <c r="D72" i="189"/>
  <c r="F72" i="189" s="1"/>
  <c r="F72" i="201"/>
  <c r="D73" i="189"/>
  <c r="F73" i="189" s="1"/>
  <c r="F73" i="201"/>
  <c r="D74" i="189"/>
  <c r="F74" i="189" s="1"/>
  <c r="F74" i="201"/>
  <c r="D75" i="189"/>
  <c r="F75" i="189" s="1"/>
  <c r="F69" i="201"/>
  <c r="D70" i="189"/>
  <c r="F70" i="189" s="1"/>
  <c r="B64" i="201"/>
  <c r="F56" i="201"/>
  <c r="B56" i="201"/>
  <c r="F55" i="201"/>
  <c r="B48" i="201"/>
  <c r="B44" i="201"/>
  <c r="B34" i="201"/>
  <c r="F8" i="201"/>
  <c r="B33" i="201"/>
  <c r="F20" i="201"/>
  <c r="F54" i="201"/>
  <c r="B32" i="201"/>
  <c r="F40" i="200"/>
  <c r="F41" i="200" s="1"/>
  <c r="F65" i="200" s="1"/>
  <c r="G34" i="200"/>
  <c r="F99" i="200"/>
  <c r="F100" i="200" s="1"/>
  <c r="F105" i="200" s="1"/>
  <c r="F77" i="200"/>
  <c r="F92" i="200"/>
  <c r="F103" i="200" s="1"/>
  <c r="G63" i="199"/>
  <c r="G67" i="199" s="1"/>
  <c r="F40" i="199"/>
  <c r="F41" i="199" s="1"/>
  <c r="F65" i="199" s="1"/>
  <c r="G34" i="199"/>
  <c r="F77" i="199"/>
  <c r="G63" i="198"/>
  <c r="G67" i="198" s="1"/>
  <c r="G31" i="198"/>
  <c r="G34" i="198" s="1"/>
  <c r="F96" i="198"/>
  <c r="F104" i="198" s="1"/>
  <c r="F95" i="197"/>
  <c r="F96" i="197" s="1"/>
  <c r="F104" i="197" s="1"/>
  <c r="G31" i="197"/>
  <c r="G34" i="197" s="1"/>
  <c r="F40" i="197"/>
  <c r="F41" i="197" s="1"/>
  <c r="F65" i="197" s="1"/>
  <c r="G53" i="197"/>
  <c r="G63" i="197" s="1"/>
  <c r="G67" i="197" s="1"/>
  <c r="F40" i="196"/>
  <c r="F41" i="196" s="1"/>
  <c r="F65" i="196" s="1"/>
  <c r="G63" i="196"/>
  <c r="G67" i="196" s="1"/>
  <c r="G31" i="196"/>
  <c r="G34" i="196" s="1"/>
  <c r="F41" i="195"/>
  <c r="F65" i="195" s="1"/>
  <c r="F99" i="195"/>
  <c r="F100" i="195" s="1"/>
  <c r="F105" i="195" s="1"/>
  <c r="G31" i="195"/>
  <c r="G34" i="195" s="1"/>
  <c r="F51" i="187"/>
  <c r="F41" i="198" l="1"/>
  <c r="F65" i="198" s="1"/>
  <c r="B39" i="201"/>
  <c r="B55" i="201"/>
  <c r="B54" i="201"/>
  <c r="B43" i="201"/>
  <c r="F92" i="199"/>
  <c r="F103" i="199" s="1"/>
  <c r="F92" i="197"/>
  <c r="F103" i="197" s="1"/>
  <c r="G130" i="200"/>
  <c r="G98" i="200"/>
  <c r="G84" i="200"/>
  <c r="H77" i="200"/>
  <c r="G73" i="200"/>
  <c r="G47" i="200"/>
  <c r="G99" i="200"/>
  <c r="H92" i="200"/>
  <c r="G88" i="200"/>
  <c r="G83" i="200"/>
  <c r="G46" i="200"/>
  <c r="G40" i="200"/>
  <c r="G37" i="200"/>
  <c r="H96" i="200"/>
  <c r="G72" i="200"/>
  <c r="H51" i="200"/>
  <c r="G45" i="200"/>
  <c r="H41" i="200"/>
  <c r="H86" i="200"/>
  <c r="G82" i="200"/>
  <c r="G76" i="200"/>
  <c r="G44" i="200"/>
  <c r="H100" i="200" s="1"/>
  <c r="G74" i="200"/>
  <c r="G49" i="200"/>
  <c r="G91" i="200"/>
  <c r="G75" i="200"/>
  <c r="G71" i="200"/>
  <c r="G43" i="200"/>
  <c r="G38" i="200"/>
  <c r="G95" i="200"/>
  <c r="G90" i="200"/>
  <c r="G81" i="200"/>
  <c r="G50" i="200"/>
  <c r="G94" i="200"/>
  <c r="G89" i="200"/>
  <c r="G80" i="200"/>
  <c r="G48" i="200"/>
  <c r="G85" i="200"/>
  <c r="G130" i="199"/>
  <c r="G98" i="199"/>
  <c r="G84" i="199"/>
  <c r="H77" i="199"/>
  <c r="G73" i="199"/>
  <c r="G48" i="199"/>
  <c r="H92" i="199"/>
  <c r="G88" i="199"/>
  <c r="G83" i="199"/>
  <c r="G47" i="199"/>
  <c r="H96" i="199"/>
  <c r="G72" i="199"/>
  <c r="G46" i="199"/>
  <c r="G40" i="199"/>
  <c r="G44" i="199"/>
  <c r="H100" i="199" s="1"/>
  <c r="H41" i="199"/>
  <c r="H86" i="199"/>
  <c r="G82" i="199"/>
  <c r="G76" i="199"/>
  <c r="H51" i="199"/>
  <c r="G45" i="199"/>
  <c r="G89" i="199"/>
  <c r="G49" i="199"/>
  <c r="G91" i="199"/>
  <c r="G75" i="199"/>
  <c r="G71" i="199"/>
  <c r="G74" i="199"/>
  <c r="G94" i="199"/>
  <c r="G95" i="199"/>
  <c r="G90" i="199"/>
  <c r="G81" i="199"/>
  <c r="G43" i="199"/>
  <c r="G38" i="199"/>
  <c r="G99" i="199"/>
  <c r="G85" i="199"/>
  <c r="G50" i="199"/>
  <c r="G80" i="199"/>
  <c r="G37" i="199"/>
  <c r="H92" i="198"/>
  <c r="G88" i="198"/>
  <c r="G83" i="198"/>
  <c r="G47" i="198"/>
  <c r="G72" i="198"/>
  <c r="G46" i="198"/>
  <c r="G40" i="198"/>
  <c r="H41" i="198"/>
  <c r="G130" i="198"/>
  <c r="G84" i="198"/>
  <c r="G73" i="198"/>
  <c r="H96" i="198"/>
  <c r="G49" i="198"/>
  <c r="G98" i="198"/>
  <c r="G48" i="198"/>
  <c r="H86" i="198"/>
  <c r="G82" i="198"/>
  <c r="G76" i="198"/>
  <c r="H51" i="198"/>
  <c r="G45" i="198"/>
  <c r="G99" i="198"/>
  <c r="G74" i="198"/>
  <c r="G94" i="198"/>
  <c r="G89" i="198"/>
  <c r="G91" i="198"/>
  <c r="G75" i="198"/>
  <c r="G71" i="198"/>
  <c r="G44" i="198"/>
  <c r="H100" i="198" s="1"/>
  <c r="G95" i="198"/>
  <c r="G90" i="198"/>
  <c r="G81" i="198"/>
  <c r="G43" i="198"/>
  <c r="G38" i="198"/>
  <c r="G85" i="198"/>
  <c r="G50" i="198"/>
  <c r="G80" i="198"/>
  <c r="G37" i="198"/>
  <c r="H77" i="198"/>
  <c r="G130" i="197"/>
  <c r="G98" i="197"/>
  <c r="G84" i="197"/>
  <c r="H77" i="197"/>
  <c r="G73" i="197"/>
  <c r="G48" i="197"/>
  <c r="G43" i="197"/>
  <c r="G38" i="197"/>
  <c r="G88" i="197"/>
  <c r="G83" i="197"/>
  <c r="G47" i="197"/>
  <c r="H96" i="197"/>
  <c r="G72" i="197"/>
  <c r="G46" i="197"/>
  <c r="G40" i="197"/>
  <c r="G94" i="197"/>
  <c r="H86" i="197"/>
  <c r="G82" i="197"/>
  <c r="G76" i="197"/>
  <c r="H51" i="197"/>
  <c r="G45" i="197"/>
  <c r="G80" i="197"/>
  <c r="G49" i="197"/>
  <c r="G91" i="197"/>
  <c r="G75" i="197"/>
  <c r="G71" i="197"/>
  <c r="G44" i="197"/>
  <c r="H100" i="197" s="1"/>
  <c r="H41" i="197"/>
  <c r="G95" i="197"/>
  <c r="G90" i="197"/>
  <c r="G81" i="197"/>
  <c r="G37" i="197"/>
  <c r="G99" i="197"/>
  <c r="G85" i="197"/>
  <c r="G74" i="197"/>
  <c r="G50" i="197"/>
  <c r="G89" i="197"/>
  <c r="G130" i="196"/>
  <c r="G98" i="196"/>
  <c r="G84" i="196"/>
  <c r="H77" i="196"/>
  <c r="G73" i="196"/>
  <c r="G47" i="196"/>
  <c r="G46" i="196"/>
  <c r="G74" i="196"/>
  <c r="H92" i="196"/>
  <c r="G88" i="196"/>
  <c r="G83" i="196"/>
  <c r="G40" i="196"/>
  <c r="H96" i="196"/>
  <c r="G72" i="196"/>
  <c r="H51" i="196"/>
  <c r="G45" i="196"/>
  <c r="G94" i="196"/>
  <c r="H86" i="196"/>
  <c r="G82" i="196"/>
  <c r="G76" i="196"/>
  <c r="G44" i="196"/>
  <c r="H100" i="196" s="1"/>
  <c r="G89" i="196"/>
  <c r="G48" i="196"/>
  <c r="G91" i="196"/>
  <c r="G75" i="196"/>
  <c r="G71" i="196"/>
  <c r="G43" i="196"/>
  <c r="G38" i="196"/>
  <c r="G99" i="196"/>
  <c r="G85" i="196"/>
  <c r="G49" i="196"/>
  <c r="H41" i="196"/>
  <c r="G37" i="196"/>
  <c r="G80" i="196"/>
  <c r="G95" i="196"/>
  <c r="G90" i="196"/>
  <c r="G81" i="196"/>
  <c r="G50" i="196"/>
  <c r="G130" i="195"/>
  <c r="G84" i="195"/>
  <c r="H77" i="195"/>
  <c r="G73" i="195"/>
  <c r="G47" i="195"/>
  <c r="H92" i="195"/>
  <c r="G88" i="195"/>
  <c r="G83" i="195"/>
  <c r="G46" i="195"/>
  <c r="G40" i="195"/>
  <c r="G85" i="195"/>
  <c r="G49" i="195"/>
  <c r="G37" i="195"/>
  <c r="H96" i="195"/>
  <c r="G72" i="195"/>
  <c r="H51" i="195"/>
  <c r="G45" i="195"/>
  <c r="H41" i="195"/>
  <c r="H86" i="195"/>
  <c r="G82" i="195"/>
  <c r="G76" i="195"/>
  <c r="G44" i="195"/>
  <c r="H100" i="195" s="1"/>
  <c r="G99" i="195"/>
  <c r="G74" i="195"/>
  <c r="G91" i="195"/>
  <c r="G75" i="195"/>
  <c r="G71" i="195"/>
  <c r="G43" i="195"/>
  <c r="G38" i="195"/>
  <c r="G95" i="195"/>
  <c r="G90" i="195"/>
  <c r="G81" i="195"/>
  <c r="G50" i="195"/>
  <c r="G94" i="195"/>
  <c r="G89" i="195"/>
  <c r="G80" i="195"/>
  <c r="G48" i="195"/>
  <c r="G98" i="195"/>
  <c r="G41" i="199" l="1"/>
  <c r="G96" i="198"/>
  <c r="G104" i="198" s="1"/>
  <c r="H92" i="197"/>
  <c r="G51" i="198"/>
  <c r="G66" i="198" s="1"/>
  <c r="G41" i="200"/>
  <c r="G86" i="200"/>
  <c r="G102" i="200" s="1"/>
  <c r="G51" i="200"/>
  <c r="G66" i="200" s="1"/>
  <c r="G77" i="200"/>
  <c r="G132" i="200" s="1"/>
  <c r="G96" i="200"/>
  <c r="G104" i="200" s="1"/>
  <c r="G100" i="200"/>
  <c r="G105" i="200" s="1"/>
  <c r="G92" i="200"/>
  <c r="G103" i="200" s="1"/>
  <c r="G51" i="199"/>
  <c r="G66" i="199" s="1"/>
  <c r="G96" i="199"/>
  <c r="G104" i="199" s="1"/>
  <c r="G86" i="199"/>
  <c r="G102" i="199" s="1"/>
  <c r="G77" i="199"/>
  <c r="G132" i="199" s="1"/>
  <c r="G100" i="199"/>
  <c r="G105" i="199" s="1"/>
  <c r="G92" i="199"/>
  <c r="G103" i="199" s="1"/>
  <c r="G65" i="199"/>
  <c r="H42" i="199"/>
  <c r="G100" i="198"/>
  <c r="G105" i="198" s="1"/>
  <c r="G41" i="198"/>
  <c r="G86" i="198"/>
  <c r="G102" i="198" s="1"/>
  <c r="G77" i="198"/>
  <c r="G132" i="198" s="1"/>
  <c r="G92" i="198"/>
  <c r="G103" i="198" s="1"/>
  <c r="G51" i="197"/>
  <c r="G66" i="197" s="1"/>
  <c r="G77" i="197"/>
  <c r="G132" i="197" s="1"/>
  <c r="G92" i="197"/>
  <c r="G103" i="197" s="1"/>
  <c r="G100" i="197"/>
  <c r="G105" i="197" s="1"/>
  <c r="G86" i="197"/>
  <c r="G102" i="197" s="1"/>
  <c r="G41" i="197"/>
  <c r="G96" i="197"/>
  <c r="G104" i="197" s="1"/>
  <c r="G51" i="196"/>
  <c r="G66" i="196" s="1"/>
  <c r="G86" i="196"/>
  <c r="G102" i="196" s="1"/>
  <c r="G77" i="196"/>
  <c r="G132" i="196" s="1"/>
  <c r="G92" i="196"/>
  <c r="G103" i="196" s="1"/>
  <c r="G100" i="196"/>
  <c r="G105" i="196" s="1"/>
  <c r="G41" i="196"/>
  <c r="G96" i="196"/>
  <c r="G104" i="196" s="1"/>
  <c r="G100" i="195"/>
  <c r="G105" i="195" s="1"/>
  <c r="G41" i="195"/>
  <c r="G51" i="195"/>
  <c r="G66" i="195" s="1"/>
  <c r="G77" i="195"/>
  <c r="G132" i="195" s="1"/>
  <c r="G92" i="195"/>
  <c r="G103" i="195" s="1"/>
  <c r="G86" i="195"/>
  <c r="G102" i="195" s="1"/>
  <c r="G96" i="195"/>
  <c r="G104" i="195" s="1"/>
  <c r="G68" i="199" l="1"/>
  <c r="G131" i="199" s="1"/>
  <c r="G106" i="197"/>
  <c r="G133" i="197" s="1"/>
  <c r="G106" i="200"/>
  <c r="G133" i="200" s="1"/>
  <c r="G65" i="200"/>
  <c r="G68" i="200" s="1"/>
  <c r="G131" i="200" s="1"/>
  <c r="H42" i="200"/>
  <c r="G106" i="199"/>
  <c r="G133" i="199" s="1"/>
  <c r="G106" i="198"/>
  <c r="G133" i="198" s="1"/>
  <c r="G65" i="198"/>
  <c r="G68" i="198" s="1"/>
  <c r="G131" i="198" s="1"/>
  <c r="H42" i="198"/>
  <c r="G65" i="197"/>
  <c r="G68" i="197" s="1"/>
  <c r="G131" i="197" s="1"/>
  <c r="H42" i="197"/>
  <c r="G65" i="196"/>
  <c r="G68" i="196" s="1"/>
  <c r="G131" i="196" s="1"/>
  <c r="H42" i="196"/>
  <c r="G106" i="196"/>
  <c r="G133" i="196" s="1"/>
  <c r="G106" i="195"/>
  <c r="G133" i="195" s="1"/>
  <c r="G65" i="195"/>
  <c r="G68" i="195" s="1"/>
  <c r="G131" i="195" s="1"/>
  <c r="H42" i="195"/>
  <c r="C59" i="187" l="1"/>
  <c r="E9" i="187"/>
  <c r="E10" i="187"/>
  <c r="E11" i="187"/>
  <c r="E12" i="187"/>
  <c r="E13" i="187"/>
  <c r="E8" i="187"/>
  <c r="C57" i="187"/>
  <c r="C43" i="187"/>
  <c r="C48" i="177"/>
  <c r="C47" i="177"/>
  <c r="C44" i="187"/>
  <c r="C39" i="187"/>
  <c r="C40" i="187"/>
  <c r="C43" i="165"/>
  <c r="C42" i="165"/>
  <c r="C36" i="177"/>
  <c r="F138" i="190" l="1"/>
  <c r="B16" i="177"/>
  <c r="F15" i="187"/>
  <c r="G62" i="189" s="1"/>
  <c r="B15" i="187"/>
  <c r="B24" i="187"/>
  <c r="B59" i="187" s="1"/>
  <c r="B22" i="187" l="1"/>
  <c r="B58" i="187" s="1"/>
  <c r="B62" i="189"/>
  <c r="B29" i="187"/>
  <c r="B51" i="187"/>
  <c r="B35" i="187"/>
  <c r="B39" i="187"/>
  <c r="F31" i="193" l="1"/>
  <c r="F32" i="193" s="1"/>
  <c r="G32" i="193" s="1"/>
  <c r="F140" i="193"/>
  <c r="F127" i="193"/>
  <c r="F128" i="193" s="1"/>
  <c r="G115" i="193"/>
  <c r="G114" i="193"/>
  <c r="G113" i="193"/>
  <c r="G112" i="193"/>
  <c r="G111" i="193"/>
  <c r="G110" i="193"/>
  <c r="B109" i="193"/>
  <c r="B108" i="193"/>
  <c r="F94" i="193"/>
  <c r="F86" i="193"/>
  <c r="F102" i="193" s="1"/>
  <c r="G61" i="193"/>
  <c r="G60" i="193"/>
  <c r="E59" i="193"/>
  <c r="G59" i="193" s="1"/>
  <c r="E58" i="193"/>
  <c r="G58" i="193" s="1"/>
  <c r="G57" i="193"/>
  <c r="G56" i="193"/>
  <c r="G55" i="193"/>
  <c r="E54" i="193"/>
  <c r="G54" i="193" s="1"/>
  <c r="G53" i="193"/>
  <c r="F51" i="193"/>
  <c r="F38" i="193"/>
  <c r="F37" i="193"/>
  <c r="F39" i="193" s="1"/>
  <c r="G30" i="193"/>
  <c r="G29" i="193"/>
  <c r="G28" i="193"/>
  <c r="G27" i="193"/>
  <c r="F31" i="180"/>
  <c r="F89" i="193" l="1"/>
  <c r="F90" i="193"/>
  <c r="G63" i="193"/>
  <c r="G67" i="193" s="1"/>
  <c r="F66" i="193"/>
  <c r="F95" i="193"/>
  <c r="F96" i="193" s="1"/>
  <c r="F104" i="193" s="1"/>
  <c r="F92" i="193"/>
  <c r="F103" i="193" s="1"/>
  <c r="F75" i="193"/>
  <c r="F99" i="193"/>
  <c r="F100" i="193" s="1"/>
  <c r="F105" i="193" s="1"/>
  <c r="G31" i="193"/>
  <c r="F40" i="193"/>
  <c r="F41" i="193" s="1"/>
  <c r="F65" i="193" s="1"/>
  <c r="G34" i="193"/>
  <c r="F77" i="193" l="1"/>
  <c r="H77" i="193" s="1"/>
  <c r="G130" i="193"/>
  <c r="G98" i="193"/>
  <c r="G84" i="193"/>
  <c r="G73" i="193"/>
  <c r="G47" i="193"/>
  <c r="H92" i="193"/>
  <c r="G88" i="193"/>
  <c r="G83" i="193"/>
  <c r="G46" i="193"/>
  <c r="G40" i="193"/>
  <c r="H96" i="193"/>
  <c r="G72" i="193"/>
  <c r="H51" i="193"/>
  <c r="G45" i="193"/>
  <c r="G74" i="193"/>
  <c r="H86" i="193"/>
  <c r="G82" i="193"/>
  <c r="G76" i="193"/>
  <c r="G44" i="193"/>
  <c r="H100" i="193" s="1"/>
  <c r="G43" i="193"/>
  <c r="G38" i="193"/>
  <c r="G90" i="193"/>
  <c r="G81" i="193"/>
  <c r="G48" i="193"/>
  <c r="G91" i="193"/>
  <c r="G75" i="193"/>
  <c r="G71" i="193"/>
  <c r="G50" i="193"/>
  <c r="G49" i="193"/>
  <c r="H41" i="193"/>
  <c r="G80" i="193"/>
  <c r="G95" i="193"/>
  <c r="G37" i="193"/>
  <c r="G94" i="193"/>
  <c r="G99" i="193"/>
  <c r="G85" i="193"/>
  <c r="G89" i="193"/>
  <c r="G96" i="193" l="1"/>
  <c r="G104" i="193" s="1"/>
  <c r="G92" i="193"/>
  <c r="G103" i="193" s="1"/>
  <c r="G51" i="193"/>
  <c r="G66" i="193" s="1"/>
  <c r="G77" i="193"/>
  <c r="G132" i="193" s="1"/>
  <c r="G41" i="193"/>
  <c r="G100" i="193"/>
  <c r="G105" i="193" s="1"/>
  <c r="G86" i="193"/>
  <c r="G102" i="193" s="1"/>
  <c r="G106" i="193" l="1"/>
  <c r="G133" i="193" s="1"/>
  <c r="G65" i="193"/>
  <c r="G68" i="193" s="1"/>
  <c r="G131" i="193" s="1"/>
  <c r="H42" i="193"/>
  <c r="C33" i="177" l="1"/>
  <c r="C26" i="177"/>
  <c r="C31" i="165"/>
  <c r="C24" i="165"/>
  <c r="D37" i="165" l="1"/>
  <c r="E6" i="190" l="1"/>
  <c r="G6" i="190"/>
  <c r="I6" i="190"/>
  <c r="K6" i="190"/>
  <c r="E7" i="190"/>
  <c r="G7" i="190"/>
  <c r="I7" i="190"/>
  <c r="K7" i="190"/>
  <c r="E8" i="190"/>
  <c r="G8" i="190"/>
  <c r="I8" i="190"/>
  <c r="K8" i="190"/>
  <c r="E9" i="190"/>
  <c r="G9" i="190"/>
  <c r="I9" i="190"/>
  <c r="K9" i="190"/>
  <c r="E10" i="190"/>
  <c r="G10" i="190"/>
  <c r="I10" i="190"/>
  <c r="K10" i="190"/>
  <c r="E11" i="190"/>
  <c r="G11" i="190"/>
  <c r="I11" i="190"/>
  <c r="K11" i="190"/>
  <c r="E12" i="190"/>
  <c r="G12" i="190"/>
  <c r="I12" i="190"/>
  <c r="K12" i="190"/>
  <c r="E13" i="190"/>
  <c r="G13" i="190"/>
  <c r="I13" i="190"/>
  <c r="K13" i="190"/>
  <c r="E14" i="190"/>
  <c r="G14" i="190"/>
  <c r="I14" i="190"/>
  <c r="K14" i="190"/>
  <c r="E15" i="190"/>
  <c r="G15" i="190"/>
  <c r="I15" i="190"/>
  <c r="K15" i="190"/>
  <c r="E16" i="190"/>
  <c r="G16" i="190"/>
  <c r="I16" i="190"/>
  <c r="K16" i="190"/>
  <c r="E17" i="190"/>
  <c r="G17" i="190"/>
  <c r="I17" i="190"/>
  <c r="K17" i="190"/>
  <c r="E18" i="190"/>
  <c r="G18" i="190"/>
  <c r="I18" i="190"/>
  <c r="K18" i="190"/>
  <c r="E19" i="190"/>
  <c r="G19" i="190"/>
  <c r="I19" i="190"/>
  <c r="K19" i="190"/>
  <c r="E20" i="190"/>
  <c r="G20" i="190"/>
  <c r="I20" i="190"/>
  <c r="K20" i="190"/>
  <c r="E21" i="190"/>
  <c r="G21" i="190"/>
  <c r="I21" i="190"/>
  <c r="K21" i="190"/>
  <c r="E22" i="190"/>
  <c r="G22" i="190"/>
  <c r="I22" i="190"/>
  <c r="K22" i="190"/>
  <c r="E23" i="190"/>
  <c r="G23" i="190"/>
  <c r="I23" i="190"/>
  <c r="K23" i="190"/>
  <c r="E24" i="190"/>
  <c r="G24" i="190"/>
  <c r="I24" i="190"/>
  <c r="K24" i="190"/>
  <c r="E25" i="190"/>
  <c r="G25" i="190"/>
  <c r="I25" i="190"/>
  <c r="K25" i="190"/>
  <c r="E26" i="190"/>
  <c r="G26" i="190"/>
  <c r="I26" i="190"/>
  <c r="K26" i="190"/>
  <c r="E27" i="190"/>
  <c r="G27" i="190"/>
  <c r="I27" i="190"/>
  <c r="K27" i="190"/>
  <c r="E28" i="190"/>
  <c r="G28" i="190"/>
  <c r="I28" i="190"/>
  <c r="K28" i="190"/>
  <c r="E29" i="190"/>
  <c r="G29" i="190"/>
  <c r="I29" i="190"/>
  <c r="K29" i="190"/>
  <c r="E30" i="190"/>
  <c r="G30" i="190"/>
  <c r="I30" i="190"/>
  <c r="K30" i="190"/>
  <c r="E31" i="190"/>
  <c r="G31" i="190"/>
  <c r="I31" i="190"/>
  <c r="K31" i="190"/>
  <c r="E32" i="190"/>
  <c r="G32" i="190"/>
  <c r="I32" i="190"/>
  <c r="K32" i="190"/>
  <c r="E33" i="190"/>
  <c r="G33" i="190"/>
  <c r="I33" i="190"/>
  <c r="K33" i="190"/>
  <c r="E34" i="190"/>
  <c r="G34" i="190"/>
  <c r="I34" i="190"/>
  <c r="K34" i="190"/>
  <c r="E35" i="190"/>
  <c r="G35" i="190"/>
  <c r="I35" i="190"/>
  <c r="K35" i="190"/>
  <c r="E36" i="190"/>
  <c r="G36" i="190"/>
  <c r="I36" i="190"/>
  <c r="K36" i="190"/>
  <c r="E37" i="190"/>
  <c r="G37" i="190"/>
  <c r="I37" i="190"/>
  <c r="K37" i="190"/>
  <c r="E38" i="190"/>
  <c r="G38" i="190"/>
  <c r="I38" i="190"/>
  <c r="K38" i="190"/>
  <c r="E39" i="190"/>
  <c r="G39" i="190"/>
  <c r="I39" i="190"/>
  <c r="K39" i="190"/>
  <c r="E40" i="190"/>
  <c r="G40" i="190"/>
  <c r="I40" i="190"/>
  <c r="K40" i="190"/>
  <c r="E41" i="190"/>
  <c r="G41" i="190"/>
  <c r="I41" i="190"/>
  <c r="K41" i="190"/>
  <c r="E42" i="190"/>
  <c r="G42" i="190"/>
  <c r="I42" i="190"/>
  <c r="K42" i="190"/>
  <c r="E43" i="190"/>
  <c r="G43" i="190"/>
  <c r="I43" i="190"/>
  <c r="K43" i="190"/>
  <c r="E44" i="190"/>
  <c r="G44" i="190"/>
  <c r="I44" i="190"/>
  <c r="K44" i="190"/>
  <c r="E45" i="190"/>
  <c r="G45" i="190"/>
  <c r="I45" i="190"/>
  <c r="K45" i="190"/>
  <c r="E46" i="190"/>
  <c r="G46" i="190"/>
  <c r="I46" i="190"/>
  <c r="K46" i="190"/>
  <c r="E47" i="190"/>
  <c r="G47" i="190"/>
  <c r="I47" i="190"/>
  <c r="K47" i="190"/>
  <c r="E48" i="190"/>
  <c r="G48" i="190"/>
  <c r="I48" i="190"/>
  <c r="K48" i="190"/>
  <c r="E49" i="190"/>
  <c r="G49" i="190"/>
  <c r="I49" i="190"/>
  <c r="K49" i="190"/>
  <c r="E50" i="190"/>
  <c r="G50" i="190"/>
  <c r="I50" i="190"/>
  <c r="K50" i="190"/>
  <c r="E51" i="190"/>
  <c r="G51" i="190"/>
  <c r="I51" i="190"/>
  <c r="K51" i="190"/>
  <c r="E52" i="190"/>
  <c r="G52" i="190"/>
  <c r="I52" i="190"/>
  <c r="K52" i="190"/>
  <c r="E53" i="190"/>
  <c r="G53" i="190"/>
  <c r="I53" i="190"/>
  <c r="K53" i="190"/>
  <c r="E54" i="190"/>
  <c r="G54" i="190"/>
  <c r="I54" i="190"/>
  <c r="K54" i="190"/>
  <c r="E55" i="190"/>
  <c r="G55" i="190"/>
  <c r="I55" i="190"/>
  <c r="K55" i="190"/>
  <c r="E56" i="190"/>
  <c r="G56" i="190"/>
  <c r="I56" i="190"/>
  <c r="K56" i="190"/>
  <c r="E57" i="190"/>
  <c r="G57" i="190"/>
  <c r="I57" i="190"/>
  <c r="K57" i="190"/>
  <c r="E58" i="190"/>
  <c r="G58" i="190"/>
  <c r="I58" i="190"/>
  <c r="K58" i="190"/>
  <c r="E59" i="190"/>
  <c r="G59" i="190"/>
  <c r="I59" i="190"/>
  <c r="K59" i="190"/>
  <c r="E60" i="190"/>
  <c r="G60" i="190"/>
  <c r="I60" i="190"/>
  <c r="K60" i="190"/>
  <c r="E61" i="190"/>
  <c r="G61" i="190"/>
  <c r="I61" i="190"/>
  <c r="K61" i="190"/>
  <c r="E62" i="190"/>
  <c r="G62" i="190"/>
  <c r="I62" i="190"/>
  <c r="K62" i="190"/>
  <c r="E63" i="190"/>
  <c r="G63" i="190"/>
  <c r="I63" i="190"/>
  <c r="K63" i="190"/>
  <c r="E64" i="190"/>
  <c r="G64" i="190"/>
  <c r="I64" i="190"/>
  <c r="K64" i="190"/>
  <c r="E65" i="190"/>
  <c r="G65" i="190"/>
  <c r="I65" i="190"/>
  <c r="K65" i="190"/>
  <c r="E66" i="190"/>
  <c r="G66" i="190"/>
  <c r="I66" i="190"/>
  <c r="K66" i="190"/>
  <c r="E67" i="190"/>
  <c r="G67" i="190"/>
  <c r="I67" i="190"/>
  <c r="K67" i="190"/>
  <c r="E68" i="190"/>
  <c r="G68" i="190"/>
  <c r="I68" i="190"/>
  <c r="K68" i="190"/>
  <c r="G127" i="190" l="1"/>
  <c r="G128" i="190"/>
  <c r="G129" i="190"/>
  <c r="G130" i="190"/>
  <c r="G131" i="190"/>
  <c r="G132" i="190"/>
  <c r="G133" i="190"/>
  <c r="G126" i="190"/>
  <c r="E125" i="190"/>
  <c r="G125" i="190"/>
  <c r="F123" i="190"/>
  <c r="G124" i="190"/>
  <c r="F124" i="190"/>
  <c r="G118" i="190"/>
  <c r="G119" i="190"/>
  <c r="G120" i="190"/>
  <c r="G117" i="190"/>
  <c r="G116" i="190"/>
  <c r="F114" i="190"/>
  <c r="G115" i="190"/>
  <c r="F115" i="190"/>
  <c r="G109" i="190"/>
  <c r="G110" i="190"/>
  <c r="G111" i="190"/>
  <c r="G108" i="190"/>
  <c r="G107" i="190"/>
  <c r="G100" i="190"/>
  <c r="G101" i="190"/>
  <c r="G102" i="190"/>
  <c r="G99" i="190"/>
  <c r="G98" i="190"/>
  <c r="G106" i="190"/>
  <c r="F106" i="190"/>
  <c r="F105" i="190"/>
  <c r="G97" i="190"/>
  <c r="F97" i="190"/>
  <c r="F96" i="190"/>
  <c r="G75" i="190"/>
  <c r="G76" i="190"/>
  <c r="G77" i="190"/>
  <c r="G78" i="190"/>
  <c r="G79" i="190"/>
  <c r="G80" i="190"/>
  <c r="G81" i="190"/>
  <c r="G82" i="190"/>
  <c r="G83" i="190"/>
  <c r="G84" i="190"/>
  <c r="G85" i="190"/>
  <c r="G86" i="190"/>
  <c r="G87" i="190"/>
  <c r="G88" i="190"/>
  <c r="G89" i="190"/>
  <c r="G90" i="190"/>
  <c r="G91" i="190"/>
  <c r="G92" i="190"/>
  <c r="G93" i="190"/>
  <c r="G74" i="190"/>
  <c r="G73" i="190"/>
  <c r="E73" i="190"/>
  <c r="G72" i="190"/>
  <c r="F72" i="190"/>
  <c r="F71" i="190"/>
  <c r="G23" i="158"/>
  <c r="G24" i="158"/>
  <c r="G25" i="158"/>
  <c r="G26" i="158"/>
  <c r="G27" i="158"/>
  <c r="G28" i="158"/>
  <c r="G29" i="158"/>
  <c r="G30" i="158"/>
  <c r="G31" i="158"/>
  <c r="G32" i="158"/>
  <c r="G33" i="158"/>
  <c r="G34" i="158"/>
  <c r="G35" i="158"/>
  <c r="G36" i="158"/>
  <c r="G37" i="158"/>
  <c r="G22" i="158"/>
  <c r="G21" i="158"/>
  <c r="G38" i="158" s="1"/>
  <c r="E21" i="158"/>
  <c r="F19" i="158"/>
  <c r="G20" i="158"/>
  <c r="F20" i="158"/>
  <c r="G9" i="158"/>
  <c r="G10" i="158"/>
  <c r="G11" i="158"/>
  <c r="G12" i="158"/>
  <c r="G13" i="158"/>
  <c r="G14" i="158"/>
  <c r="G15" i="158"/>
  <c r="G16" i="158"/>
  <c r="G8" i="158"/>
  <c r="G7" i="158"/>
  <c r="E7" i="158"/>
  <c r="G17" i="158" l="1"/>
  <c r="E108" i="174" s="1"/>
  <c r="G121" i="190"/>
  <c r="G69" i="190"/>
  <c r="G94" i="190"/>
  <c r="G134" i="190"/>
  <c r="G112" i="190"/>
  <c r="K118" i="190"/>
  <c r="K119" i="190"/>
  <c r="K120" i="190"/>
  <c r="K117" i="190"/>
  <c r="K116" i="190"/>
  <c r="I118" i="190"/>
  <c r="I119" i="190"/>
  <c r="I120" i="190"/>
  <c r="I117" i="190"/>
  <c r="I116" i="190"/>
  <c r="E118" i="190"/>
  <c r="E119" i="190"/>
  <c r="E120" i="190"/>
  <c r="E117" i="190"/>
  <c r="E116" i="190"/>
  <c r="K109" i="190"/>
  <c r="K110" i="190"/>
  <c r="K111" i="190"/>
  <c r="K108" i="190"/>
  <c r="K107" i="190"/>
  <c r="I109" i="190"/>
  <c r="I110" i="190"/>
  <c r="I111" i="190"/>
  <c r="I108" i="190"/>
  <c r="I107" i="190"/>
  <c r="E109" i="190"/>
  <c r="E110" i="190"/>
  <c r="E111" i="190"/>
  <c r="E107" i="190"/>
  <c r="E108" i="190"/>
  <c r="E108" i="173" l="1"/>
  <c r="E108" i="175"/>
  <c r="F136" i="190"/>
  <c r="E121" i="190"/>
  <c r="E112" i="190"/>
  <c r="I121" i="190"/>
  <c r="K121" i="190"/>
  <c r="K112" i="190"/>
  <c r="I112" i="190"/>
  <c r="G61" i="177" l="1"/>
  <c r="G35" i="189" s="1"/>
  <c r="C52" i="187"/>
  <c r="C42" i="177" l="1"/>
  <c r="C37" i="165" l="1"/>
  <c r="B109" i="186" l="1"/>
  <c r="B108" i="186"/>
  <c r="B109" i="181" l="1"/>
  <c r="B108" i="181"/>
  <c r="G115" i="181"/>
  <c r="G111" i="181"/>
  <c r="G112" i="181"/>
  <c r="G113" i="181"/>
  <c r="G114" i="181"/>
  <c r="B109" i="180"/>
  <c r="B108" i="180"/>
  <c r="B109" i="175" l="1"/>
  <c r="B108" i="175"/>
  <c r="B109" i="174"/>
  <c r="B108" i="174"/>
  <c r="B109" i="173"/>
  <c r="B108" i="173"/>
  <c r="B109" i="148" l="1"/>
  <c r="B108" i="148"/>
  <c r="G111" i="99"/>
  <c r="G112" i="99"/>
  <c r="G113" i="99"/>
  <c r="G114" i="99"/>
  <c r="G115" i="99"/>
  <c r="B109" i="99"/>
  <c r="B108" i="99"/>
  <c r="K133" i="190" l="1"/>
  <c r="I133" i="190"/>
  <c r="E133" i="190"/>
  <c r="K132" i="190"/>
  <c r="I132" i="190"/>
  <c r="E132" i="190"/>
  <c r="K131" i="190"/>
  <c r="I131" i="190"/>
  <c r="E131" i="190"/>
  <c r="K130" i="190"/>
  <c r="I130" i="190"/>
  <c r="E130" i="190"/>
  <c r="K129" i="190"/>
  <c r="I129" i="190"/>
  <c r="E129" i="190"/>
  <c r="K128" i="190"/>
  <c r="I128" i="190"/>
  <c r="E128" i="190"/>
  <c r="K127" i="190"/>
  <c r="I127" i="190"/>
  <c r="E127" i="190"/>
  <c r="K126" i="190"/>
  <c r="I126" i="190"/>
  <c r="E126" i="190"/>
  <c r="K125" i="190"/>
  <c r="I125" i="190"/>
  <c r="I102" i="190"/>
  <c r="E102" i="190"/>
  <c r="I101" i="190"/>
  <c r="E101" i="190"/>
  <c r="I100" i="190"/>
  <c r="E100" i="190"/>
  <c r="I99" i="190"/>
  <c r="E99" i="190"/>
  <c r="I98" i="190"/>
  <c r="E98" i="190"/>
  <c r="K93" i="190"/>
  <c r="I93" i="190"/>
  <c r="E93" i="190"/>
  <c r="K92" i="190"/>
  <c r="I92" i="190"/>
  <c r="E92" i="190"/>
  <c r="K91" i="190"/>
  <c r="I91" i="190"/>
  <c r="E91" i="190"/>
  <c r="K90" i="190"/>
  <c r="I90" i="190"/>
  <c r="E90" i="190"/>
  <c r="K89" i="190"/>
  <c r="I89" i="190"/>
  <c r="E89" i="190"/>
  <c r="K88" i="190"/>
  <c r="I88" i="190"/>
  <c r="E88" i="190"/>
  <c r="K87" i="190"/>
  <c r="I87" i="190"/>
  <c r="E87" i="190"/>
  <c r="K86" i="190"/>
  <c r="I86" i="190"/>
  <c r="E86" i="190"/>
  <c r="K85" i="190"/>
  <c r="I85" i="190"/>
  <c r="E85" i="190"/>
  <c r="K84" i="190"/>
  <c r="I84" i="190"/>
  <c r="E84" i="190"/>
  <c r="K83" i="190"/>
  <c r="I83" i="190"/>
  <c r="E83" i="190"/>
  <c r="K82" i="190"/>
  <c r="I82" i="190"/>
  <c r="E82" i="190"/>
  <c r="K81" i="190"/>
  <c r="I81" i="190"/>
  <c r="E81" i="190"/>
  <c r="K80" i="190"/>
  <c r="I80" i="190"/>
  <c r="E80" i="190"/>
  <c r="K79" i="190"/>
  <c r="I79" i="190"/>
  <c r="E79" i="190"/>
  <c r="K78" i="190"/>
  <c r="I78" i="190"/>
  <c r="E78" i="190"/>
  <c r="K77" i="190"/>
  <c r="I77" i="190"/>
  <c r="E77" i="190"/>
  <c r="K76" i="190"/>
  <c r="I76" i="190"/>
  <c r="E76" i="190"/>
  <c r="K75" i="190"/>
  <c r="I75" i="190"/>
  <c r="E75" i="190"/>
  <c r="K74" i="190"/>
  <c r="I74" i="190"/>
  <c r="E74" i="190"/>
  <c r="K73" i="190"/>
  <c r="I73" i="190"/>
  <c r="K72" i="190"/>
  <c r="K97" i="190" s="1"/>
  <c r="J72" i="190"/>
  <c r="J97" i="190" s="1"/>
  <c r="I72" i="190"/>
  <c r="I97" i="190" s="1"/>
  <c r="H72" i="190"/>
  <c r="H97" i="190" s="1"/>
  <c r="E72" i="190"/>
  <c r="E97" i="190" s="1"/>
  <c r="D72" i="190"/>
  <c r="D97" i="190" s="1"/>
  <c r="J71" i="190"/>
  <c r="J96" i="190" s="1"/>
  <c r="H71" i="190"/>
  <c r="H96" i="190" s="1"/>
  <c r="D71" i="190"/>
  <c r="D96" i="190" s="1"/>
  <c r="C71" i="190"/>
  <c r="C96" i="190" s="1"/>
  <c r="B123" i="190" s="1"/>
  <c r="B71" i="190"/>
  <c r="B96" i="190" s="1"/>
  <c r="I94" i="190" l="1"/>
  <c r="D124" i="190"/>
  <c r="D106" i="190"/>
  <c r="D115" i="190" s="1"/>
  <c r="D123" i="190"/>
  <c r="D138" i="190" s="1"/>
  <c r="D105" i="190"/>
  <c r="D114" i="190" s="1"/>
  <c r="E124" i="190"/>
  <c r="E106" i="190"/>
  <c r="E115" i="190" s="1"/>
  <c r="K124" i="190"/>
  <c r="K106" i="190"/>
  <c r="K115" i="190" s="1"/>
  <c r="H123" i="190"/>
  <c r="H138" i="190" s="1"/>
  <c r="H105" i="190"/>
  <c r="H114" i="190" s="1"/>
  <c r="H124" i="190"/>
  <c r="H106" i="190"/>
  <c r="H115" i="190" s="1"/>
  <c r="J124" i="190"/>
  <c r="J106" i="190"/>
  <c r="J115" i="190" s="1"/>
  <c r="J123" i="190"/>
  <c r="J138" i="190" s="1"/>
  <c r="J105" i="190"/>
  <c r="J114" i="190" s="1"/>
  <c r="I124" i="190"/>
  <c r="I106" i="190"/>
  <c r="I115" i="190" s="1"/>
  <c r="E103" i="190"/>
  <c r="E94" i="190"/>
  <c r="K103" i="190"/>
  <c r="I69" i="190"/>
  <c r="E69" i="190"/>
  <c r="K69" i="190"/>
  <c r="K94" i="190"/>
  <c r="K134" i="190"/>
  <c r="I134" i="190"/>
  <c r="I103" i="190"/>
  <c r="E134" i="190"/>
  <c r="H136" i="190" l="1"/>
  <c r="J136" i="190"/>
  <c r="D136" i="190"/>
  <c r="G77" i="201" l="1"/>
  <c r="G16" i="189"/>
  <c r="G17" i="189" s="1"/>
  <c r="G62" i="177"/>
  <c r="G72" i="187"/>
  <c r="G36" i="189"/>
  <c r="G56" i="165"/>
  <c r="E52" i="187"/>
  <c r="G57" i="189" l="1"/>
  <c r="G58" i="189" s="1"/>
  <c r="G78" i="189"/>
  <c r="G79" i="189" s="1"/>
  <c r="G78" i="201"/>
  <c r="G57" i="165"/>
  <c r="G73" i="187"/>
  <c r="F52" i="187"/>
  <c r="E42" i="177" l="1"/>
  <c r="G61" i="175" l="1"/>
  <c r="G60" i="174"/>
  <c r="F17" i="187" l="1"/>
  <c r="G64" i="189" s="1"/>
  <c r="G97" i="189" s="1"/>
  <c r="B17" i="187"/>
  <c r="B64" i="189" s="1"/>
  <c r="B16" i="187"/>
  <c r="B63" i="189" s="1"/>
  <c r="B14" i="187"/>
  <c r="B61" i="189" s="1"/>
  <c r="F16" i="187"/>
  <c r="G63" i="189" s="1"/>
  <c r="F14" i="187"/>
  <c r="G61" i="189" s="1"/>
  <c r="H62" i="189" s="1"/>
  <c r="D69" i="187"/>
  <c r="D68" i="187"/>
  <c r="F53" i="189" s="1"/>
  <c r="D67" i="187"/>
  <c r="D66" i="187"/>
  <c r="D65" i="187"/>
  <c r="D64" i="187"/>
  <c r="E50" i="187"/>
  <c r="F8" i="187"/>
  <c r="F140" i="186"/>
  <c r="F127" i="186"/>
  <c r="F128" i="186" s="1"/>
  <c r="G115" i="186"/>
  <c r="G114" i="186"/>
  <c r="F94" i="186"/>
  <c r="F86" i="186"/>
  <c r="F102" i="186" s="1"/>
  <c r="G61" i="186"/>
  <c r="G60" i="186"/>
  <c r="E59" i="186"/>
  <c r="G59" i="186" s="1"/>
  <c r="G58" i="186"/>
  <c r="E58" i="186"/>
  <c r="G57" i="186"/>
  <c r="G56" i="186"/>
  <c r="G55" i="186"/>
  <c r="E54" i="186"/>
  <c r="G54" i="186" s="1"/>
  <c r="F51" i="186"/>
  <c r="F38" i="186"/>
  <c r="F37" i="186"/>
  <c r="F39" i="186" s="1"/>
  <c r="F31" i="186"/>
  <c r="F32" i="186" s="1"/>
  <c r="G32" i="186" s="1"/>
  <c r="G30" i="186"/>
  <c r="G29" i="186"/>
  <c r="G28" i="186"/>
  <c r="G27" i="186"/>
  <c r="G53" i="186" s="1"/>
  <c r="G60" i="181"/>
  <c r="F140" i="181"/>
  <c r="F127" i="181"/>
  <c r="F128" i="181" s="1"/>
  <c r="F94" i="181"/>
  <c r="F86" i="181"/>
  <c r="F102" i="181" s="1"/>
  <c r="G61" i="181"/>
  <c r="E59" i="181"/>
  <c r="G59" i="181" s="1"/>
  <c r="E58" i="181"/>
  <c r="G58" i="181" s="1"/>
  <c r="G57" i="181"/>
  <c r="G56" i="181"/>
  <c r="E55" i="181"/>
  <c r="G55" i="181" s="1"/>
  <c r="E54" i="181"/>
  <c r="G54" i="181" s="1"/>
  <c r="F51" i="181"/>
  <c r="F90" i="181" s="1"/>
  <c r="F38" i="181"/>
  <c r="F37" i="181"/>
  <c r="F39" i="181" s="1"/>
  <c r="F31" i="181"/>
  <c r="G31" i="181" s="1"/>
  <c r="G30" i="181"/>
  <c r="G29" i="181"/>
  <c r="G28" i="181"/>
  <c r="G27" i="181"/>
  <c r="G53" i="181" s="1"/>
  <c r="F66" i="186" l="1"/>
  <c r="F90" i="186"/>
  <c r="F95" i="186"/>
  <c r="F95" i="181"/>
  <c r="F99" i="181"/>
  <c r="F75" i="186"/>
  <c r="F77" i="186" s="1"/>
  <c r="B23" i="187"/>
  <c r="B57" i="187" s="1"/>
  <c r="F66" i="187"/>
  <c r="F51" i="189"/>
  <c r="G65" i="189"/>
  <c r="F64" i="187"/>
  <c r="F49" i="189"/>
  <c r="F65" i="187"/>
  <c r="F50" i="189"/>
  <c r="F69" i="187"/>
  <c r="F54" i="189"/>
  <c r="F67" i="187"/>
  <c r="F52" i="189"/>
  <c r="B21" i="187"/>
  <c r="B43" i="187" s="1"/>
  <c r="F68" i="187"/>
  <c r="B36" i="187"/>
  <c r="B52" i="187"/>
  <c r="B40" i="187"/>
  <c r="B44" i="187"/>
  <c r="B30" i="187"/>
  <c r="F18" i="187"/>
  <c r="F50" i="187"/>
  <c r="G63" i="186"/>
  <c r="G67" i="186" s="1"/>
  <c r="F96" i="186"/>
  <c r="F104" i="186" s="1"/>
  <c r="F99" i="186"/>
  <c r="F100" i="186" s="1"/>
  <c r="F105" i="186" s="1"/>
  <c r="G31" i="186"/>
  <c r="G34" i="186" s="1"/>
  <c r="F40" i="186"/>
  <c r="F41" i="186" s="1"/>
  <c r="F65" i="186" s="1"/>
  <c r="F89" i="186"/>
  <c r="G63" i="181"/>
  <c r="G67" i="181" s="1"/>
  <c r="F66" i="181"/>
  <c r="F100" i="181"/>
  <c r="F105" i="181" s="1"/>
  <c r="F89" i="181"/>
  <c r="F92" i="181" s="1"/>
  <c r="F103" i="181" s="1"/>
  <c r="F32" i="181"/>
  <c r="G32" i="181" s="1"/>
  <c r="G34" i="181" s="1"/>
  <c r="F40" i="181"/>
  <c r="F41" i="181" s="1"/>
  <c r="F65" i="181" s="1"/>
  <c r="F75" i="181"/>
  <c r="F77" i="181" s="1"/>
  <c r="F96" i="181"/>
  <c r="F104" i="181" s="1"/>
  <c r="B34" i="187" l="1"/>
  <c r="B28" i="187"/>
  <c r="B50" i="187"/>
  <c r="F92" i="186"/>
  <c r="F103" i="186" s="1"/>
  <c r="G130" i="186"/>
  <c r="G95" i="186"/>
  <c r="H92" i="186"/>
  <c r="G90" i="186"/>
  <c r="G88" i="186"/>
  <c r="G83" i="186"/>
  <c r="G81" i="186"/>
  <c r="G50" i="186"/>
  <c r="G46" i="186"/>
  <c r="G40" i="186"/>
  <c r="H77" i="186"/>
  <c r="G71" i="186"/>
  <c r="G99" i="186"/>
  <c r="H96" i="186"/>
  <c r="G85" i="186"/>
  <c r="G74" i="186"/>
  <c r="G72" i="186"/>
  <c r="H51" i="186"/>
  <c r="G49" i="186"/>
  <c r="G45" i="186"/>
  <c r="H41" i="186"/>
  <c r="G37" i="186"/>
  <c r="G44" i="186"/>
  <c r="H100" i="186" s="1"/>
  <c r="G47" i="186"/>
  <c r="G43" i="186"/>
  <c r="G38" i="186"/>
  <c r="G94" i="186"/>
  <c r="G89" i="186"/>
  <c r="H86" i="186"/>
  <c r="G82" i="186"/>
  <c r="G80" i="186"/>
  <c r="G76" i="186"/>
  <c r="G48" i="186"/>
  <c r="G98" i="186"/>
  <c r="G100" i="186" s="1"/>
  <c r="G105" i="186" s="1"/>
  <c r="G91" i="186"/>
  <c r="G84" i="186"/>
  <c r="G75" i="186"/>
  <c r="G73" i="186"/>
  <c r="G130" i="181"/>
  <c r="G99" i="181"/>
  <c r="H96" i="181"/>
  <c r="G85" i="181"/>
  <c r="G74" i="181"/>
  <c r="G72" i="181"/>
  <c r="G50" i="181"/>
  <c r="G46" i="181"/>
  <c r="G40" i="181"/>
  <c r="G91" i="181"/>
  <c r="H77" i="181"/>
  <c r="G75" i="181"/>
  <c r="G73" i="181"/>
  <c r="G71" i="181"/>
  <c r="G48" i="181"/>
  <c r="G95" i="181"/>
  <c r="H92" i="181"/>
  <c r="G88" i="181"/>
  <c r="G83" i="181"/>
  <c r="G81" i="181"/>
  <c r="G47" i="181"/>
  <c r="G43" i="181"/>
  <c r="G94" i="181"/>
  <c r="G96" i="181" s="1"/>
  <c r="G104" i="181" s="1"/>
  <c r="G89" i="181"/>
  <c r="H86" i="181"/>
  <c r="G82" i="181"/>
  <c r="G80" i="181"/>
  <c r="G76" i="181"/>
  <c r="H51" i="181"/>
  <c r="G49" i="181"/>
  <c r="G45" i="181"/>
  <c r="H41" i="181"/>
  <c r="G37" i="181"/>
  <c r="G98" i="181"/>
  <c r="G100" i="181" s="1"/>
  <c r="G105" i="181" s="1"/>
  <c r="G84" i="181"/>
  <c r="G44" i="181"/>
  <c r="H100" i="181" s="1"/>
  <c r="G90" i="181"/>
  <c r="G38" i="181"/>
  <c r="G77" i="181" l="1"/>
  <c r="G132" i="181" s="1"/>
  <c r="G92" i="181"/>
  <c r="G103" i="181" s="1"/>
  <c r="G86" i="186"/>
  <c r="G102" i="186" s="1"/>
  <c r="G96" i="186"/>
  <c r="G104" i="186" s="1"/>
  <c r="G110" i="186"/>
  <c r="G110" i="181"/>
  <c r="G111" i="186"/>
  <c r="G41" i="186"/>
  <c r="G51" i="186"/>
  <c r="G66" i="186" s="1"/>
  <c r="G92" i="186"/>
  <c r="G103" i="186" s="1"/>
  <c r="G77" i="186"/>
  <c r="G132" i="186" s="1"/>
  <c r="G86" i="181"/>
  <c r="G102" i="181" s="1"/>
  <c r="G51" i="181"/>
  <c r="G66" i="181" s="1"/>
  <c r="G41" i="181"/>
  <c r="G106" i="181" l="1"/>
  <c r="G133" i="181" s="1"/>
  <c r="G106" i="186"/>
  <c r="G133" i="186" s="1"/>
  <c r="H42" i="186"/>
  <c r="G65" i="186"/>
  <c r="G68" i="186" s="1"/>
  <c r="G131" i="186" s="1"/>
  <c r="G65" i="181"/>
  <c r="G68" i="181" s="1"/>
  <c r="G131" i="181" s="1"/>
  <c r="H42" i="181"/>
  <c r="F140" i="180" l="1"/>
  <c r="F127" i="180"/>
  <c r="F128" i="180" s="1"/>
  <c r="G115" i="180"/>
  <c r="G114" i="180"/>
  <c r="G111" i="180"/>
  <c r="G110" i="180"/>
  <c r="F94" i="180"/>
  <c r="F86" i="180"/>
  <c r="F102" i="180" s="1"/>
  <c r="G61" i="180"/>
  <c r="G60" i="180"/>
  <c r="E59" i="180"/>
  <c r="G59" i="180" s="1"/>
  <c r="G58" i="180"/>
  <c r="E58" i="180"/>
  <c r="G57" i="180"/>
  <c r="G56" i="180"/>
  <c r="G55" i="180"/>
  <c r="E54" i="180"/>
  <c r="G54" i="180" s="1"/>
  <c r="F51" i="180"/>
  <c r="F90" i="180" s="1"/>
  <c r="F38" i="180"/>
  <c r="F37" i="180"/>
  <c r="F39" i="180" s="1"/>
  <c r="G31" i="180"/>
  <c r="F32" i="180"/>
  <c r="G32" i="180" s="1"/>
  <c r="G30" i="180"/>
  <c r="G29" i="180"/>
  <c r="G28" i="180"/>
  <c r="G27" i="180"/>
  <c r="G53" i="180" s="1"/>
  <c r="F66" i="180" l="1"/>
  <c r="F95" i="180"/>
  <c r="F96" i="180" s="1"/>
  <c r="F104" i="180" s="1"/>
  <c r="F75" i="180"/>
  <c r="F99" i="180"/>
  <c r="F100" i="180" s="1"/>
  <c r="F105" i="180" s="1"/>
  <c r="G63" i="180"/>
  <c r="G67" i="180" s="1"/>
  <c r="G34" i="180"/>
  <c r="F40" i="180"/>
  <c r="F41" i="180" s="1"/>
  <c r="F65" i="180" s="1"/>
  <c r="F89" i="180"/>
  <c r="F92" i="180" s="1"/>
  <c r="F103" i="180" s="1"/>
  <c r="D42" i="177"/>
  <c r="B22" i="177"/>
  <c r="B21" i="177"/>
  <c r="B48" i="177" s="1"/>
  <c r="B20" i="177"/>
  <c r="F16" i="177"/>
  <c r="F15" i="177"/>
  <c r="F14" i="177"/>
  <c r="D58" i="177"/>
  <c r="D57" i="177"/>
  <c r="D56" i="177"/>
  <c r="D55" i="177"/>
  <c r="D54" i="177"/>
  <c r="D53" i="177"/>
  <c r="E13" i="177"/>
  <c r="F13" i="177" s="1"/>
  <c r="E12" i="177"/>
  <c r="E11" i="177"/>
  <c r="E10" i="177"/>
  <c r="E9" i="177"/>
  <c r="E8" i="177"/>
  <c r="F77" i="180" l="1"/>
  <c r="H77" i="180" s="1"/>
  <c r="B42" i="177"/>
  <c r="B47" i="177"/>
  <c r="F54" i="177"/>
  <c r="D28" i="189"/>
  <c r="F28" i="189" s="1"/>
  <c r="F55" i="177"/>
  <c r="D29" i="189"/>
  <c r="F29" i="189" s="1"/>
  <c r="G44" i="189"/>
  <c r="F53" i="177"/>
  <c r="D27" i="189"/>
  <c r="F27" i="189" s="1"/>
  <c r="F57" i="177"/>
  <c r="D31" i="189"/>
  <c r="F31" i="189" s="1"/>
  <c r="F58" i="177"/>
  <c r="D32" i="189"/>
  <c r="F32" i="189" s="1"/>
  <c r="F56" i="177"/>
  <c r="D30" i="189"/>
  <c r="F30" i="189" s="1"/>
  <c r="F42" i="177"/>
  <c r="G99" i="180"/>
  <c r="H96" i="180"/>
  <c r="G85" i="180"/>
  <c r="G74" i="180"/>
  <c r="G72" i="180"/>
  <c r="H51" i="180"/>
  <c r="G49" i="180"/>
  <c r="G45" i="180"/>
  <c r="H41" i="180"/>
  <c r="G37" i="180"/>
  <c r="G130" i="180"/>
  <c r="G81" i="180"/>
  <c r="G94" i="180"/>
  <c r="G89" i="180"/>
  <c r="H86" i="180"/>
  <c r="G82" i="180"/>
  <c r="G80" i="180"/>
  <c r="G76" i="180"/>
  <c r="G48" i="180"/>
  <c r="G44" i="180"/>
  <c r="H100" i="180" s="1"/>
  <c r="G95" i="180"/>
  <c r="H92" i="180"/>
  <c r="G90" i="180"/>
  <c r="G88" i="180"/>
  <c r="G46" i="180"/>
  <c r="G40" i="180"/>
  <c r="G98" i="180"/>
  <c r="G91" i="180"/>
  <c r="G84" i="180"/>
  <c r="G75" i="180"/>
  <c r="G73" i="180"/>
  <c r="G71" i="180"/>
  <c r="G47" i="180"/>
  <c r="G43" i="180"/>
  <c r="G38" i="180"/>
  <c r="G83" i="180"/>
  <c r="G50" i="180"/>
  <c r="F17" i="177"/>
  <c r="F39" i="158" s="1"/>
  <c r="B30" i="177"/>
  <c r="F8" i="177"/>
  <c r="B33" i="177"/>
  <c r="B36" i="177"/>
  <c r="B26" i="177"/>
  <c r="E109" i="173" l="1"/>
  <c r="E109" i="175"/>
  <c r="E109" i="174"/>
  <c r="G92" i="180"/>
  <c r="G103" i="180" s="1"/>
  <c r="G100" i="180"/>
  <c r="G105" i="180" s="1"/>
  <c r="G51" i="180"/>
  <c r="G66" i="180" s="1"/>
  <c r="G41" i="180"/>
  <c r="G77" i="180"/>
  <c r="G132" i="180" s="1"/>
  <c r="G86" i="180"/>
  <c r="G102" i="180" s="1"/>
  <c r="G96" i="180"/>
  <c r="G104" i="180" s="1"/>
  <c r="G106" i="180" l="1"/>
  <c r="G133" i="180" s="1"/>
  <c r="G65" i="180"/>
  <c r="G68" i="180" s="1"/>
  <c r="G131" i="180" s="1"/>
  <c r="H42" i="180"/>
  <c r="F142" i="175" l="1"/>
  <c r="G141" i="175"/>
  <c r="F140" i="175"/>
  <c r="F127" i="175"/>
  <c r="F128" i="175" s="1"/>
  <c r="G115" i="175"/>
  <c r="G114" i="175"/>
  <c r="F94" i="175"/>
  <c r="F86" i="175"/>
  <c r="F102" i="175" s="1"/>
  <c r="G62" i="175"/>
  <c r="G60" i="175"/>
  <c r="G59" i="175"/>
  <c r="G58" i="175"/>
  <c r="G57" i="175"/>
  <c r="G56" i="175"/>
  <c r="G55" i="175"/>
  <c r="G54" i="175"/>
  <c r="F51" i="175"/>
  <c r="F75" i="175" s="1"/>
  <c r="F77" i="175" s="1"/>
  <c r="F38" i="175"/>
  <c r="F39" i="175" s="1"/>
  <c r="G33" i="175"/>
  <c r="F30" i="175"/>
  <c r="F32" i="175" s="1"/>
  <c r="G29" i="175"/>
  <c r="G27" i="175"/>
  <c r="G53" i="175" s="1"/>
  <c r="F140" i="174"/>
  <c r="F127" i="174"/>
  <c r="F128" i="174" s="1"/>
  <c r="G115" i="174"/>
  <c r="F94" i="174"/>
  <c r="F86" i="174"/>
  <c r="F102" i="174" s="1"/>
  <c r="G61" i="174"/>
  <c r="E59" i="174"/>
  <c r="G59" i="174" s="1"/>
  <c r="E58" i="174"/>
  <c r="G58" i="174" s="1"/>
  <c r="G57" i="174"/>
  <c r="G56" i="174"/>
  <c r="E55" i="174"/>
  <c r="G55" i="174" s="1"/>
  <c r="E54" i="174"/>
  <c r="G54" i="174" s="1"/>
  <c r="F51" i="174"/>
  <c r="F38" i="174"/>
  <c r="F37" i="174"/>
  <c r="F31" i="174"/>
  <c r="F32" i="174" s="1"/>
  <c r="G32" i="174" s="1"/>
  <c r="G30" i="174"/>
  <c r="G29" i="174"/>
  <c r="G28" i="174"/>
  <c r="G27" i="174"/>
  <c r="G53" i="174" s="1"/>
  <c r="F140" i="173"/>
  <c r="F127" i="173"/>
  <c r="F128" i="173" s="1"/>
  <c r="G115" i="173"/>
  <c r="G114" i="173"/>
  <c r="F94" i="173"/>
  <c r="F86" i="173"/>
  <c r="F102" i="173" s="1"/>
  <c r="G61" i="173"/>
  <c r="G60" i="173"/>
  <c r="G59" i="173"/>
  <c r="G58" i="173"/>
  <c r="G57" i="173"/>
  <c r="G56" i="173"/>
  <c r="G55" i="173"/>
  <c r="G54" i="173"/>
  <c r="F51" i="173"/>
  <c r="F38" i="173"/>
  <c r="F37" i="173"/>
  <c r="F39" i="173" s="1"/>
  <c r="F31" i="173"/>
  <c r="F32" i="173" s="1"/>
  <c r="G32" i="173" s="1"/>
  <c r="G30" i="173"/>
  <c r="G29" i="173"/>
  <c r="G28" i="173"/>
  <c r="G27" i="173"/>
  <c r="G53" i="173" s="1"/>
  <c r="G63" i="173" s="1"/>
  <c r="F39" i="174" l="1"/>
  <c r="F95" i="174"/>
  <c r="F96" i="174" s="1"/>
  <c r="F104" i="174" s="1"/>
  <c r="F90" i="174"/>
  <c r="F66" i="173"/>
  <c r="F90" i="173"/>
  <c r="G63" i="175"/>
  <c r="F75" i="173"/>
  <c r="F99" i="174"/>
  <c r="F100" i="174" s="1"/>
  <c r="F105" i="174" s="1"/>
  <c r="G67" i="175"/>
  <c r="F89" i="175"/>
  <c r="F92" i="175" s="1"/>
  <c r="F103" i="175" s="1"/>
  <c r="G28" i="175"/>
  <c r="G32" i="175" s="1"/>
  <c r="F40" i="175"/>
  <c r="F41" i="175" s="1"/>
  <c r="F65" i="175" s="1"/>
  <c r="F99" i="175"/>
  <c r="F100" i="175" s="1"/>
  <c r="F95" i="175"/>
  <c r="F96" i="175" s="1"/>
  <c r="F104" i="175" s="1"/>
  <c r="F66" i="175"/>
  <c r="F40" i="174"/>
  <c r="F41" i="174" s="1"/>
  <c r="F65" i="174" s="1"/>
  <c r="G63" i="174"/>
  <c r="G67" i="174" s="1"/>
  <c r="G31" i="174"/>
  <c r="G34" i="174" s="1"/>
  <c r="F89" i="174"/>
  <c r="F92" i="174" s="1"/>
  <c r="F103" i="174" s="1"/>
  <c r="F66" i="174"/>
  <c r="F75" i="174"/>
  <c r="F77" i="174" s="1"/>
  <c r="G67" i="173"/>
  <c r="F77" i="173"/>
  <c r="F96" i="173"/>
  <c r="F104" i="173" s="1"/>
  <c r="G31" i="173"/>
  <c r="G34" i="173" s="1"/>
  <c r="F95" i="173"/>
  <c r="F89" i="173"/>
  <c r="F99" i="173"/>
  <c r="F100" i="173" s="1"/>
  <c r="F105" i="173" s="1"/>
  <c r="F40" i="173"/>
  <c r="F41" i="173" s="1"/>
  <c r="F65" i="173" s="1"/>
  <c r="F92" i="173" l="1"/>
  <c r="F103" i="173" s="1"/>
  <c r="G34" i="175"/>
  <c r="G81" i="175" s="1"/>
  <c r="G30" i="175"/>
  <c r="I106" i="175"/>
  <c r="F105" i="175"/>
  <c r="G83" i="175"/>
  <c r="G72" i="175"/>
  <c r="G80" i="175"/>
  <c r="G91" i="175"/>
  <c r="G45" i="175"/>
  <c r="G99" i="174"/>
  <c r="G40" i="174"/>
  <c r="G94" i="174"/>
  <c r="G89" i="174"/>
  <c r="H86" i="174"/>
  <c r="G82" i="174"/>
  <c r="G80" i="174"/>
  <c r="G76" i="174"/>
  <c r="H51" i="174"/>
  <c r="G49" i="174"/>
  <c r="G45" i="174"/>
  <c r="H41" i="174"/>
  <c r="G37" i="174"/>
  <c r="G95" i="174"/>
  <c r="H92" i="174"/>
  <c r="G90" i="174"/>
  <c r="G88" i="174"/>
  <c r="G83" i="174"/>
  <c r="G81" i="174"/>
  <c r="G38" i="174"/>
  <c r="G130" i="174"/>
  <c r="H96" i="174"/>
  <c r="G74" i="174"/>
  <c r="G72" i="174"/>
  <c r="G98" i="174"/>
  <c r="G100" i="174" s="1"/>
  <c r="G105" i="174" s="1"/>
  <c r="G91" i="174"/>
  <c r="G84" i="174"/>
  <c r="H77" i="174"/>
  <c r="G75" i="174"/>
  <c r="G73" i="174"/>
  <c r="G71" i="174"/>
  <c r="G48" i="174"/>
  <c r="G44" i="174"/>
  <c r="H100" i="174" s="1"/>
  <c r="G47" i="174"/>
  <c r="G43" i="174"/>
  <c r="G85" i="174"/>
  <c r="G50" i="174"/>
  <c r="G46" i="174"/>
  <c r="G130" i="173"/>
  <c r="G95" i="173"/>
  <c r="H92" i="173"/>
  <c r="G90" i="173"/>
  <c r="G88" i="173"/>
  <c r="G83" i="173"/>
  <c r="G81" i="173"/>
  <c r="G50" i="173"/>
  <c r="G46" i="173"/>
  <c r="G40" i="173"/>
  <c r="G85" i="173"/>
  <c r="G72" i="173"/>
  <c r="G89" i="173"/>
  <c r="H86" i="173"/>
  <c r="G48" i="173"/>
  <c r="G44" i="173"/>
  <c r="H100" i="173" s="1"/>
  <c r="G98" i="173"/>
  <c r="G91" i="173"/>
  <c r="G47" i="173"/>
  <c r="G43" i="173"/>
  <c r="G38" i="173"/>
  <c r="G99" i="173"/>
  <c r="H96" i="173"/>
  <c r="G74" i="173"/>
  <c r="H51" i="173"/>
  <c r="G49" i="173"/>
  <c r="G45" i="173"/>
  <c r="H41" i="173"/>
  <c r="G37" i="173"/>
  <c r="G41" i="173" s="1"/>
  <c r="G94" i="173"/>
  <c r="G96" i="173" s="1"/>
  <c r="G104" i="173" s="1"/>
  <c r="G82" i="173"/>
  <c r="G80" i="173"/>
  <c r="G76" i="173"/>
  <c r="G84" i="173"/>
  <c r="H77" i="173"/>
  <c r="G75" i="173"/>
  <c r="G73" i="173"/>
  <c r="G71" i="173"/>
  <c r="G86" i="173" l="1"/>
  <c r="G102" i="173" s="1"/>
  <c r="G49" i="175"/>
  <c r="G98" i="175"/>
  <c r="G100" i="175" s="1"/>
  <c r="G105" i="175" s="1"/>
  <c r="G82" i="175"/>
  <c r="G74" i="175"/>
  <c r="G88" i="175"/>
  <c r="H51" i="175"/>
  <c r="G130" i="175"/>
  <c r="H86" i="175"/>
  <c r="G85" i="175"/>
  <c r="G90" i="175"/>
  <c r="G71" i="175"/>
  <c r="G37" i="175"/>
  <c r="G89" i="175"/>
  <c r="G92" i="175" s="1"/>
  <c r="G103" i="175" s="1"/>
  <c r="G99" i="175"/>
  <c r="H92" i="175"/>
  <c r="G73" i="175"/>
  <c r="H41" i="175"/>
  <c r="G94" i="175"/>
  <c r="G96" i="175" s="1"/>
  <c r="G104" i="175" s="1"/>
  <c r="G38" i="175"/>
  <c r="G95" i="175"/>
  <c r="G51" i="173"/>
  <c r="G66" i="173" s="1"/>
  <c r="G44" i="175"/>
  <c r="H100" i="175" s="1"/>
  <c r="H77" i="175"/>
  <c r="G50" i="175"/>
  <c r="G43" i="175"/>
  <c r="G48" i="175"/>
  <c r="G75" i="175"/>
  <c r="G46" i="175"/>
  <c r="G40" i="175"/>
  <c r="H96" i="175"/>
  <c r="G84" i="175"/>
  <c r="G76" i="175"/>
  <c r="G47" i="175"/>
  <c r="G51" i="174"/>
  <c r="G66" i="174" s="1"/>
  <c r="G77" i="174"/>
  <c r="G132" i="174" s="1"/>
  <c r="G86" i="174"/>
  <c r="G102" i="174" s="1"/>
  <c r="G96" i="174"/>
  <c r="G104" i="174" s="1"/>
  <c r="G92" i="174"/>
  <c r="G103" i="174" s="1"/>
  <c r="G41" i="174"/>
  <c r="G77" i="173"/>
  <c r="G132" i="173" s="1"/>
  <c r="H42" i="173"/>
  <c r="G65" i="173"/>
  <c r="G100" i="173"/>
  <c r="G105" i="173" s="1"/>
  <c r="G92" i="173"/>
  <c r="G103" i="173" s="1"/>
  <c r="G68" i="173" l="1"/>
  <c r="G131" i="173" s="1"/>
  <c r="G86" i="175"/>
  <c r="G102" i="175" s="1"/>
  <c r="G106" i="175" s="1"/>
  <c r="G133" i="175" s="1"/>
  <c r="G106" i="173"/>
  <c r="G133" i="173" s="1"/>
  <c r="G51" i="175"/>
  <c r="G66" i="175" s="1"/>
  <c r="G41" i="175"/>
  <c r="G65" i="175" s="1"/>
  <c r="G77" i="175"/>
  <c r="G132" i="175" s="1"/>
  <c r="G65" i="174"/>
  <c r="G68" i="174" s="1"/>
  <c r="G131" i="174" s="1"/>
  <c r="H42" i="174"/>
  <c r="G106" i="174"/>
  <c r="G133" i="174" s="1"/>
  <c r="G68" i="175" l="1"/>
  <c r="G131" i="175" s="1"/>
  <c r="B43" i="165"/>
  <c r="D51" i="165" l="1"/>
  <c r="F11" i="189" s="1"/>
  <c r="F12" i="189" l="1"/>
  <c r="F15" i="165"/>
  <c r="G21" i="189" s="1"/>
  <c r="G93" i="189" s="1"/>
  <c r="E11" i="165" l="1"/>
  <c r="E12" i="165"/>
  <c r="K23" i="158" l="1"/>
  <c r="K24" i="158"/>
  <c r="K25" i="158"/>
  <c r="K26" i="158"/>
  <c r="K27" i="158"/>
  <c r="K28" i="158"/>
  <c r="K29" i="158"/>
  <c r="K30" i="158"/>
  <c r="K31" i="158"/>
  <c r="K32" i="158"/>
  <c r="K33" i="158"/>
  <c r="K34" i="158"/>
  <c r="K35" i="158"/>
  <c r="K36" i="158"/>
  <c r="K37" i="158"/>
  <c r="K22" i="158"/>
  <c r="K21" i="158"/>
  <c r="I23" i="158"/>
  <c r="I24" i="158"/>
  <c r="I25" i="158"/>
  <c r="I26" i="158"/>
  <c r="I27" i="158"/>
  <c r="I28" i="158"/>
  <c r="I29" i="158"/>
  <c r="I30" i="158"/>
  <c r="I31" i="158"/>
  <c r="I32" i="158"/>
  <c r="I33" i="158"/>
  <c r="I34" i="158"/>
  <c r="I35" i="158"/>
  <c r="I36" i="158"/>
  <c r="I37" i="158"/>
  <c r="I22" i="158"/>
  <c r="I21" i="158"/>
  <c r="E23" i="158"/>
  <c r="E24" i="158"/>
  <c r="E25" i="158"/>
  <c r="E26" i="158"/>
  <c r="E27" i="158"/>
  <c r="E28" i="158"/>
  <c r="E29" i="158"/>
  <c r="E30" i="158"/>
  <c r="E31" i="158"/>
  <c r="E32" i="158"/>
  <c r="E33" i="158"/>
  <c r="E34" i="158"/>
  <c r="E35" i="158"/>
  <c r="E36" i="158"/>
  <c r="E37" i="158"/>
  <c r="E22" i="158"/>
  <c r="K20" i="158"/>
  <c r="J20" i="158"/>
  <c r="I9" i="158"/>
  <c r="I10" i="158"/>
  <c r="I11" i="158"/>
  <c r="I12" i="158"/>
  <c r="I13" i="158"/>
  <c r="I14" i="158"/>
  <c r="I15" i="158"/>
  <c r="I16" i="158"/>
  <c r="I8" i="158"/>
  <c r="I7" i="158"/>
  <c r="E9" i="158"/>
  <c r="E10" i="158"/>
  <c r="E11" i="158"/>
  <c r="E12" i="158"/>
  <c r="E13" i="158"/>
  <c r="E14" i="158"/>
  <c r="E15" i="158"/>
  <c r="E16" i="158"/>
  <c r="E8" i="158"/>
  <c r="E38" i="158" l="1"/>
  <c r="I38" i="158"/>
  <c r="K38" i="158"/>
  <c r="J39" i="158" s="1"/>
  <c r="I17" i="158"/>
  <c r="E17" i="158"/>
  <c r="C19" i="158"/>
  <c r="B19" i="158"/>
  <c r="I20" i="158"/>
  <c r="H20" i="158"/>
  <c r="E20" i="158"/>
  <c r="D20" i="158"/>
  <c r="J19" i="158"/>
  <c r="H19" i="158"/>
  <c r="D19" i="158"/>
  <c r="E109" i="198" l="1"/>
  <c r="G109" i="198" s="1"/>
  <c r="E109" i="199"/>
  <c r="G109" i="199" s="1"/>
  <c r="E109" i="200"/>
  <c r="G109" i="200" s="1"/>
  <c r="E109" i="195"/>
  <c r="G109" i="195" s="1"/>
  <c r="E109" i="196"/>
  <c r="G109" i="196" s="1"/>
  <c r="E109" i="197"/>
  <c r="G109" i="197" s="1"/>
  <c r="E109" i="158"/>
  <c r="H39" i="158"/>
  <c r="E108" i="186"/>
  <c r="E108" i="180"/>
  <c r="E108" i="181"/>
  <c r="E108" i="193"/>
  <c r="G108" i="193" s="1"/>
  <c r="E108" i="99"/>
  <c r="E108" i="148"/>
  <c r="G113" i="174"/>
  <c r="G113" i="175"/>
  <c r="G113" i="173"/>
  <c r="E109" i="193" l="1"/>
  <c r="G109" i="193" s="1"/>
  <c r="G116" i="193" s="1"/>
  <c r="G134" i="193" s="1"/>
  <c r="G135" i="193" s="1"/>
  <c r="G119" i="193" s="1"/>
  <c r="G120" i="193" s="1"/>
  <c r="E109" i="180"/>
  <c r="G109" i="180" s="1"/>
  <c r="E109" i="181"/>
  <c r="G109" i="181" s="1"/>
  <c r="E109" i="186"/>
  <c r="G109" i="186" s="1"/>
  <c r="E37" i="165" l="1"/>
  <c r="K14" i="158" l="1"/>
  <c r="K15" i="158"/>
  <c r="E54" i="148"/>
  <c r="E55" i="148"/>
  <c r="E59" i="99"/>
  <c r="E58" i="99"/>
  <c r="E54" i="99"/>
  <c r="G60" i="99"/>
  <c r="G115" i="148" l="1"/>
  <c r="D53" i="165"/>
  <c r="F13" i="189" s="1"/>
  <c r="D50" i="165"/>
  <c r="D10" i="189" s="1"/>
  <c r="F10" i="189" s="1"/>
  <c r="D49" i="165"/>
  <c r="D9" i="189" s="1"/>
  <c r="F9" i="189" s="1"/>
  <c r="D48" i="165"/>
  <c r="D8" i="189" s="1"/>
  <c r="F8" i="189" s="1"/>
  <c r="B19" i="165"/>
  <c r="B42" i="165" l="1"/>
  <c r="B28" i="165"/>
  <c r="F53" i="165"/>
  <c r="F51" i="165"/>
  <c r="F50" i="165"/>
  <c r="F49" i="165"/>
  <c r="F48" i="165"/>
  <c r="B37" i="165"/>
  <c r="B31" i="165"/>
  <c r="B24" i="165" l="1"/>
  <c r="E10" i="165"/>
  <c r="E13" i="165"/>
  <c r="F13" i="165" s="1"/>
  <c r="E9" i="165"/>
  <c r="E8" i="165"/>
  <c r="G113" i="186" l="1"/>
  <c r="G113" i="180"/>
  <c r="F8" i="165"/>
  <c r="F37" i="165"/>
  <c r="G109" i="174" l="1"/>
  <c r="G109" i="175"/>
  <c r="G109" i="173"/>
  <c r="F22" i="99"/>
  <c r="K16" i="158"/>
  <c r="K13" i="158"/>
  <c r="K12" i="158"/>
  <c r="K11" i="158"/>
  <c r="K10" i="158"/>
  <c r="K9" i="158"/>
  <c r="K8" i="158"/>
  <c r="K7" i="158"/>
  <c r="F14" i="165" l="1"/>
  <c r="G20" i="189" s="1"/>
  <c r="G92" i="189" s="1"/>
  <c r="H98" i="189" s="1"/>
  <c r="K17" i="158"/>
  <c r="E108" i="196" l="1"/>
  <c r="G108" i="196" s="1"/>
  <c r="G116" i="196" s="1"/>
  <c r="G134" i="196" s="1"/>
  <c r="G135" i="196" s="1"/>
  <c r="G119" i="196" s="1"/>
  <c r="G120" i="196" s="1"/>
  <c r="E108" i="197"/>
  <c r="G108" i="197" s="1"/>
  <c r="G116" i="197" s="1"/>
  <c r="G134" i="197" s="1"/>
  <c r="G135" i="197" s="1"/>
  <c r="E108" i="198"/>
  <c r="G108" i="198" s="1"/>
  <c r="G116" i="198" s="1"/>
  <c r="G134" i="198" s="1"/>
  <c r="G135" i="198" s="1"/>
  <c r="E108" i="199"/>
  <c r="G108" i="199" s="1"/>
  <c r="G116" i="199" s="1"/>
  <c r="G134" i="199" s="1"/>
  <c r="G135" i="199" s="1"/>
  <c r="G119" i="199" s="1"/>
  <c r="G120" i="199" s="1"/>
  <c r="E108" i="195"/>
  <c r="G108" i="195" s="1"/>
  <c r="G116" i="195" s="1"/>
  <c r="G134" i="195" s="1"/>
  <c r="G135" i="195" s="1"/>
  <c r="G119" i="195" s="1"/>
  <c r="G120" i="195" s="1"/>
  <c r="E108" i="200"/>
  <c r="G108" i="200" s="1"/>
  <c r="G116" i="200" s="1"/>
  <c r="G134" i="200" s="1"/>
  <c r="G135" i="200" s="1"/>
  <c r="F16" i="165"/>
  <c r="D39" i="158" s="1"/>
  <c r="G108" i="186"/>
  <c r="G108" i="181"/>
  <c r="G116" i="181" s="1"/>
  <c r="G134" i="181" s="1"/>
  <c r="G135" i="181" s="1"/>
  <c r="G108" i="180"/>
  <c r="G116" i="180" s="1"/>
  <c r="G134" i="180" s="1"/>
  <c r="G135" i="180" s="1"/>
  <c r="G22" i="189"/>
  <c r="G112" i="186"/>
  <c r="G112" i="180"/>
  <c r="G110" i="174"/>
  <c r="G112" i="175"/>
  <c r="G112" i="173"/>
  <c r="G111" i="175"/>
  <c r="G111" i="173"/>
  <c r="G111" i="174"/>
  <c r="G108" i="175"/>
  <c r="G108" i="173"/>
  <c r="G110" i="175"/>
  <c r="G110" i="173"/>
  <c r="G112" i="174"/>
  <c r="G108" i="174"/>
  <c r="G108" i="148"/>
  <c r="G111" i="148"/>
  <c r="G116" i="186" l="1"/>
  <c r="G134" i="186" s="1"/>
  <c r="G135" i="186" s="1"/>
  <c r="G119" i="186" s="1"/>
  <c r="G120" i="186" s="1"/>
  <c r="G119" i="200"/>
  <c r="G120" i="200" s="1"/>
  <c r="G119" i="198"/>
  <c r="G120" i="198" s="1"/>
  <c r="G119" i="197"/>
  <c r="G120" i="197" s="1"/>
  <c r="E109" i="99"/>
  <c r="E109" i="148"/>
  <c r="G119" i="180"/>
  <c r="G120" i="180" s="1"/>
  <c r="G119" i="181"/>
  <c r="G120" i="181" s="1"/>
  <c r="G116" i="174"/>
  <c r="G134" i="174" s="1"/>
  <c r="G135" i="174" s="1"/>
  <c r="G119" i="174" s="1"/>
  <c r="G120" i="174" s="1"/>
  <c r="G116" i="175"/>
  <c r="G134" i="175" s="1"/>
  <c r="G135" i="175" s="1"/>
  <c r="G119" i="175" s="1"/>
  <c r="G120" i="175" s="1"/>
  <c r="G116" i="173"/>
  <c r="G134" i="173" s="1"/>
  <c r="G135" i="173" s="1"/>
  <c r="E59" i="148"/>
  <c r="E58" i="148"/>
  <c r="G119" i="173" l="1"/>
  <c r="G120" i="173" s="1"/>
  <c r="F140" i="148"/>
  <c r="F127" i="148"/>
  <c r="F128" i="148" s="1"/>
  <c r="G112" i="148"/>
  <c r="G110" i="148"/>
  <c r="F94" i="148"/>
  <c r="G61" i="148"/>
  <c r="G60" i="148"/>
  <c r="G59" i="148"/>
  <c r="G57" i="148"/>
  <c r="G56" i="148"/>
  <c r="G55" i="148"/>
  <c r="G54" i="148"/>
  <c r="G58" i="148"/>
  <c r="F51" i="148"/>
  <c r="F90" i="148" s="1"/>
  <c r="F38" i="148"/>
  <c r="F37" i="148"/>
  <c r="F31" i="148"/>
  <c r="F32" i="148" s="1"/>
  <c r="G32" i="148" s="1"/>
  <c r="G30" i="148"/>
  <c r="G29" i="148"/>
  <c r="G28" i="148"/>
  <c r="G27" i="148"/>
  <c r="F75" i="148" l="1"/>
  <c r="F77" i="148" s="1"/>
  <c r="F99" i="148"/>
  <c r="F100" i="148" s="1"/>
  <c r="F105" i="148" s="1"/>
  <c r="F86" i="148"/>
  <c r="F102" i="148" s="1"/>
  <c r="F39" i="148"/>
  <c r="F40" i="148" s="1"/>
  <c r="F41" i="148" s="1"/>
  <c r="F65" i="148" s="1"/>
  <c r="F66" i="148"/>
  <c r="F89" i="148"/>
  <c r="G31" i="148"/>
  <c r="G34" i="148" s="1"/>
  <c r="F95" i="148"/>
  <c r="F96" i="148" s="1"/>
  <c r="F104" i="148" s="1"/>
  <c r="G53" i="148"/>
  <c r="G63" i="148" s="1"/>
  <c r="G67" i="148" s="1"/>
  <c r="F92" i="148" l="1"/>
  <c r="F103" i="148" s="1"/>
  <c r="G99" i="148"/>
  <c r="G85" i="148"/>
  <c r="G74" i="148"/>
  <c r="G43" i="148"/>
  <c r="G38" i="148"/>
  <c r="G94" i="148"/>
  <c r="G89" i="148"/>
  <c r="G80" i="148"/>
  <c r="G50" i="148"/>
  <c r="G98" i="148"/>
  <c r="G84" i="148"/>
  <c r="H77" i="148"/>
  <c r="G73" i="148"/>
  <c r="G49" i="148"/>
  <c r="H41" i="148"/>
  <c r="G37" i="148"/>
  <c r="G48" i="148"/>
  <c r="G95" i="148"/>
  <c r="G90" i="148"/>
  <c r="G88" i="148"/>
  <c r="G83" i="148"/>
  <c r="G81" i="148"/>
  <c r="G44" i="148"/>
  <c r="H100" i="148" s="1"/>
  <c r="H96" i="148"/>
  <c r="G72" i="148"/>
  <c r="G47" i="148"/>
  <c r="H86" i="148"/>
  <c r="G82" i="148"/>
  <c r="G76" i="148"/>
  <c r="G46" i="148"/>
  <c r="G40" i="148"/>
  <c r="G91" i="148"/>
  <c r="G75" i="148"/>
  <c r="G71" i="148"/>
  <c r="H51" i="148"/>
  <c r="G45" i="148"/>
  <c r="G130" i="148"/>
  <c r="H92" i="148" l="1"/>
  <c r="G41" i="148"/>
  <c r="G65" i="148" s="1"/>
  <c r="G86" i="148"/>
  <c r="G102" i="148" s="1"/>
  <c r="G77" i="148"/>
  <c r="G132" i="148" s="1"/>
  <c r="G96" i="148"/>
  <c r="G104" i="148" s="1"/>
  <c r="G92" i="148"/>
  <c r="G103" i="148" s="1"/>
  <c r="G51" i="148"/>
  <c r="G66" i="148" s="1"/>
  <c r="G100" i="148"/>
  <c r="G105" i="148" s="1"/>
  <c r="H42" i="148" l="1"/>
  <c r="G106" i="148"/>
  <c r="G133" i="148" s="1"/>
  <c r="G68" i="148"/>
  <c r="G131" i="148" s="1"/>
  <c r="F94" i="99" l="1"/>
  <c r="G59" i="99" l="1"/>
  <c r="G58" i="99"/>
  <c r="F38" i="99" l="1"/>
  <c r="F37" i="99"/>
  <c r="G61" i="99" l="1"/>
  <c r="G57" i="99"/>
  <c r="G56" i="99"/>
  <c r="G55" i="99"/>
  <c r="F31" i="99"/>
  <c r="F32" i="99" s="1"/>
  <c r="G32" i="99" s="1"/>
  <c r="G30" i="99"/>
  <c r="G29" i="99"/>
  <c r="G28" i="99"/>
  <c r="G27" i="99"/>
  <c r="G53" i="99" s="1"/>
  <c r="G54" i="99" l="1"/>
  <c r="G31" i="99"/>
  <c r="G34" i="99" s="1"/>
  <c r="G130" i="99" l="1"/>
  <c r="G98" i="99"/>
  <c r="G94" i="99"/>
  <c r="F127" i="99" l="1"/>
  <c r="F51" i="99" l="1"/>
  <c r="F90" i="99" s="1"/>
  <c r="F99" i="99" l="1"/>
  <c r="F95" i="99"/>
  <c r="F89" i="99"/>
  <c r="F75" i="99"/>
  <c r="F77" i="99" s="1"/>
  <c r="G95" i="99" l="1"/>
  <c r="G96" i="99" s="1"/>
  <c r="F96" i="99"/>
  <c r="G99" i="99"/>
  <c r="G100" i="99" s="1"/>
  <c r="F100" i="99"/>
  <c r="F92" i="99"/>
  <c r="F140" i="99"/>
  <c r="F105" i="99" l="1"/>
  <c r="F86" i="99" l="1"/>
  <c r="F39" i="99"/>
  <c r="F40" i="99" s="1"/>
  <c r="F41" i="99" s="1"/>
  <c r="F102" i="99" l="1"/>
  <c r="F128" i="99" l="1"/>
  <c r="F103" i="99"/>
  <c r="F66" i="99"/>
  <c r="G109" i="148" l="1"/>
  <c r="G110" i="99"/>
  <c r="F104" i="99"/>
  <c r="F65" i="99"/>
  <c r="G109" i="99" l="1"/>
  <c r="G108" i="99" l="1"/>
  <c r="G63" i="99" l="1"/>
  <c r="G45" i="99" l="1"/>
  <c r="G46" i="99"/>
  <c r="G47" i="99"/>
  <c r="G48" i="99"/>
  <c r="G49" i="99"/>
  <c r="G50" i="99"/>
  <c r="G44" i="99"/>
  <c r="H100" i="99" s="1"/>
  <c r="G43" i="99"/>
  <c r="H51" i="99"/>
  <c r="G67" i="99"/>
  <c r="G40" i="99"/>
  <c r="G90" i="99"/>
  <c r="G74" i="99"/>
  <c r="G37" i="99"/>
  <c r="G73" i="99"/>
  <c r="G105" i="99"/>
  <c r="G89" i="99"/>
  <c r="G88" i="99"/>
  <c r="G75" i="99"/>
  <c r="G104" i="99"/>
  <c r="H96" i="99"/>
  <c r="G91" i="99"/>
  <c r="G82" i="99"/>
  <c r="H92" i="99"/>
  <c r="G80" i="99"/>
  <c r="G71" i="99"/>
  <c r="G81" i="99"/>
  <c r="G76" i="99"/>
  <c r="H41" i="99"/>
  <c r="G72" i="99"/>
  <c r="G85" i="99"/>
  <c r="G84" i="99"/>
  <c r="H77" i="99"/>
  <c r="H86" i="99"/>
  <c r="G38" i="99"/>
  <c r="G83" i="99"/>
  <c r="G77" i="99" l="1"/>
  <c r="G132" i="99" s="1"/>
  <c r="G86" i="99"/>
  <c r="G102" i="99" s="1"/>
  <c r="G51" i="99"/>
  <c r="G66" i="99" s="1"/>
  <c r="G41" i="99"/>
  <c r="G92" i="99"/>
  <c r="G103" i="99" s="1"/>
  <c r="G65" i="99" l="1"/>
  <c r="H42" i="99"/>
  <c r="G106" i="99"/>
  <c r="G133" i="99" s="1"/>
  <c r="G68" i="99" l="1"/>
  <c r="G131" i="99" s="1"/>
  <c r="G113" i="148" l="1"/>
  <c r="G116" i="148" s="1"/>
  <c r="G134" i="148" s="1"/>
  <c r="G135" i="148" s="1"/>
  <c r="G119" i="148" s="1"/>
  <c r="G120" i="148" s="1"/>
  <c r="G116" i="99"/>
  <c r="G134" i="99" s="1"/>
  <c r="G135" i="99" s="1"/>
  <c r="G119" i="99" s="1"/>
  <c r="G120" i="99" l="1"/>
  <c r="E52" i="165" l="1"/>
  <c r="G52" i="165"/>
  <c r="E12" i="189"/>
  <c r="G12" i="189" s="1"/>
  <c r="G122" i="180" l="1"/>
  <c r="G123" i="180"/>
  <c r="G124" i="180"/>
  <c r="G125" i="180"/>
  <c r="G126" i="180"/>
  <c r="G127" i="180"/>
  <c r="H127" i="180"/>
  <c r="G128" i="180"/>
  <c r="G136" i="180"/>
  <c r="G137" i="180"/>
  <c r="H137" i="180"/>
  <c r="G139" i="180"/>
  <c r="G140" i="180"/>
  <c r="G122" i="196"/>
  <c r="G123" i="196"/>
  <c r="G124" i="196"/>
  <c r="G125" i="196"/>
  <c r="G126" i="196"/>
  <c r="G127" i="196"/>
  <c r="H127" i="196"/>
  <c r="G128" i="196"/>
  <c r="G136" i="196"/>
  <c r="G137" i="196"/>
  <c r="H137" i="196"/>
  <c r="G139" i="196"/>
  <c r="G140" i="196"/>
  <c r="G122" i="195"/>
  <c r="G123" i="195"/>
  <c r="G124" i="195"/>
  <c r="G125" i="195"/>
  <c r="G126" i="195"/>
  <c r="G127" i="195"/>
  <c r="H127" i="195"/>
  <c r="G128" i="195"/>
  <c r="G136" i="195"/>
  <c r="G137" i="195"/>
  <c r="H137" i="195"/>
  <c r="G139" i="195"/>
  <c r="G140" i="195"/>
  <c r="G122" i="99"/>
  <c r="G123" i="99"/>
  <c r="G124" i="99"/>
  <c r="G125" i="99"/>
  <c r="G126" i="99"/>
  <c r="G127" i="99"/>
  <c r="H127" i="99"/>
  <c r="G128" i="99"/>
  <c r="G136" i="99"/>
  <c r="G137" i="99"/>
  <c r="H137" i="99"/>
  <c r="G139" i="99"/>
  <c r="G140" i="99"/>
  <c r="G122" i="173"/>
  <c r="G123" i="173"/>
  <c r="G124" i="173"/>
  <c r="G125" i="173"/>
  <c r="G126" i="173"/>
  <c r="G127" i="173"/>
  <c r="H127" i="173"/>
  <c r="G128" i="173"/>
  <c r="G136" i="173"/>
  <c r="G137" i="173"/>
  <c r="H137" i="173"/>
  <c r="G139" i="173"/>
  <c r="G140" i="173"/>
  <c r="G122" i="193"/>
  <c r="G123" i="193"/>
  <c r="G124" i="193"/>
  <c r="G125" i="193"/>
  <c r="G126" i="193"/>
  <c r="G127" i="193"/>
  <c r="H127" i="193"/>
  <c r="G128" i="193"/>
  <c r="G136" i="193"/>
  <c r="G137" i="193"/>
  <c r="H137" i="193"/>
  <c r="G139" i="193"/>
  <c r="G140" i="193"/>
  <c r="G122" i="175"/>
  <c r="G123" i="175"/>
  <c r="G124" i="175"/>
  <c r="G125" i="175"/>
  <c r="G126" i="175"/>
  <c r="G127" i="175"/>
  <c r="H127" i="175"/>
  <c r="G128" i="175"/>
  <c r="G136" i="175"/>
  <c r="G137" i="175"/>
  <c r="H137" i="175"/>
  <c r="G139" i="175"/>
  <c r="G140" i="175"/>
  <c r="G142" i="175"/>
  <c r="G143" i="175"/>
  <c r="G122" i="199"/>
  <c r="G123" i="199"/>
  <c r="G124" i="199"/>
  <c r="G125" i="199"/>
  <c r="G126" i="199"/>
  <c r="G127" i="199"/>
  <c r="H127" i="199"/>
  <c r="G128" i="199"/>
  <c r="G136" i="199"/>
  <c r="G137" i="199"/>
  <c r="H137" i="199"/>
  <c r="G139" i="199"/>
  <c r="G140" i="199"/>
  <c r="G122" i="200"/>
  <c r="G123" i="200"/>
  <c r="G124" i="200"/>
  <c r="G125" i="200"/>
  <c r="G126" i="200"/>
  <c r="G127" i="200"/>
  <c r="H127" i="200"/>
  <c r="G128" i="200"/>
  <c r="G136" i="200"/>
  <c r="G137" i="200"/>
  <c r="H137" i="200"/>
  <c r="G139" i="200"/>
  <c r="G140" i="200"/>
  <c r="G122" i="148"/>
  <c r="G123" i="148"/>
  <c r="G124" i="148"/>
  <c r="G125" i="148"/>
  <c r="G126" i="148"/>
  <c r="G127" i="148"/>
  <c r="H127" i="148"/>
  <c r="G128" i="148"/>
  <c r="G136" i="148"/>
  <c r="G137" i="148"/>
  <c r="H137" i="148"/>
  <c r="G139" i="148"/>
  <c r="G140" i="148"/>
  <c r="G122" i="174"/>
  <c r="G123" i="174"/>
  <c r="G124" i="174"/>
  <c r="G125" i="174"/>
  <c r="G126" i="174"/>
  <c r="G127" i="174"/>
  <c r="H127" i="174"/>
  <c r="G128" i="174"/>
  <c r="G136" i="174"/>
  <c r="G137" i="174"/>
  <c r="H137" i="174"/>
  <c r="G139" i="174"/>
  <c r="G140" i="174"/>
  <c r="G122" i="181"/>
  <c r="G123" i="181"/>
  <c r="G124" i="181"/>
  <c r="G125" i="181"/>
  <c r="G126" i="181"/>
  <c r="G127" i="181"/>
  <c r="H127" i="181"/>
  <c r="G128" i="181"/>
  <c r="G136" i="181"/>
  <c r="G137" i="181"/>
  <c r="H137" i="181"/>
  <c r="G139" i="181"/>
  <c r="G140" i="181"/>
  <c r="G122" i="197"/>
  <c r="G123" i="197"/>
  <c r="G124" i="197"/>
  <c r="G125" i="197"/>
  <c r="G126" i="197"/>
  <c r="G127" i="197"/>
  <c r="H127" i="197"/>
  <c r="G128" i="197"/>
  <c r="G136" i="197"/>
  <c r="G137" i="197"/>
  <c r="H137" i="197"/>
  <c r="G139" i="197"/>
  <c r="G140" i="197"/>
  <c r="G122" i="186"/>
  <c r="G123" i="186"/>
  <c r="G124" i="186"/>
  <c r="G125" i="186"/>
  <c r="G126" i="186"/>
  <c r="G127" i="186"/>
  <c r="H127" i="186"/>
  <c r="G128" i="186"/>
  <c r="G136" i="186"/>
  <c r="G137" i="186"/>
  <c r="H137" i="186"/>
  <c r="G139" i="186"/>
  <c r="G140" i="186"/>
  <c r="C8" i="189"/>
  <c r="E8" i="189"/>
  <c r="G8" i="189"/>
  <c r="C9" i="189"/>
  <c r="E9" i="189"/>
  <c r="G9" i="189"/>
  <c r="C10" i="189"/>
  <c r="E10" i="189"/>
  <c r="G10" i="189"/>
  <c r="C11" i="189"/>
  <c r="E11" i="189"/>
  <c r="G11" i="189"/>
  <c r="C13" i="189"/>
  <c r="E13" i="189"/>
  <c r="G13" i="189"/>
  <c r="G14" i="189"/>
  <c r="G15" i="189"/>
  <c r="G18" i="189"/>
  <c r="G19" i="189"/>
  <c r="C27" i="189"/>
  <c r="E27" i="189"/>
  <c r="G27" i="189"/>
  <c r="C28" i="189"/>
  <c r="E28" i="189"/>
  <c r="G28" i="189"/>
  <c r="C29" i="189"/>
  <c r="E29" i="189"/>
  <c r="G29" i="189"/>
  <c r="C30" i="189"/>
  <c r="E30" i="189"/>
  <c r="G30" i="189"/>
  <c r="C31" i="189"/>
  <c r="E31" i="189"/>
  <c r="G31" i="189"/>
  <c r="C32" i="189"/>
  <c r="E32" i="189"/>
  <c r="G32" i="189"/>
  <c r="G33" i="189"/>
  <c r="G34" i="189"/>
  <c r="G37" i="189"/>
  <c r="G38" i="189"/>
  <c r="G39" i="189"/>
  <c r="G40" i="189"/>
  <c r="C49" i="189"/>
  <c r="E49" i="189"/>
  <c r="G49" i="189"/>
  <c r="C50" i="189"/>
  <c r="E50" i="189"/>
  <c r="G50" i="189"/>
  <c r="C51" i="189"/>
  <c r="E51" i="189"/>
  <c r="G51" i="189"/>
  <c r="C52" i="189"/>
  <c r="E52" i="189"/>
  <c r="G52" i="189"/>
  <c r="C53" i="189"/>
  <c r="E53" i="189"/>
  <c r="G53" i="189"/>
  <c r="C54" i="189"/>
  <c r="E54" i="189"/>
  <c r="G54" i="189"/>
  <c r="G55" i="189"/>
  <c r="G56" i="189"/>
  <c r="G59" i="189"/>
  <c r="G60" i="189"/>
  <c r="C70" i="189"/>
  <c r="E70" i="189"/>
  <c r="G70" i="189"/>
  <c r="C71" i="189"/>
  <c r="E71" i="189"/>
  <c r="G71" i="189"/>
  <c r="C72" i="189"/>
  <c r="E72" i="189"/>
  <c r="G72" i="189"/>
  <c r="C73" i="189"/>
  <c r="E73" i="189"/>
  <c r="G73" i="189"/>
  <c r="C74" i="189"/>
  <c r="E74" i="189"/>
  <c r="G74" i="189"/>
  <c r="C75" i="189"/>
  <c r="E75" i="189"/>
  <c r="G75" i="189"/>
  <c r="G76" i="189"/>
  <c r="G77" i="189"/>
  <c r="G80" i="189"/>
  <c r="G81" i="189"/>
  <c r="G91" i="189"/>
  <c r="C19" i="165"/>
  <c r="C20" i="165"/>
  <c r="D24" i="165"/>
  <c r="E24" i="165"/>
  <c r="E25" i="165"/>
  <c r="D28" i="165"/>
  <c r="E28" i="165"/>
  <c r="E29" i="165"/>
  <c r="D31" i="165"/>
  <c r="E31" i="165"/>
  <c r="E32" i="165"/>
  <c r="G37" i="165"/>
  <c r="H37" i="165"/>
  <c r="H38" i="165"/>
  <c r="D42" i="165"/>
  <c r="E42" i="165"/>
  <c r="D43" i="165"/>
  <c r="E43" i="165"/>
  <c r="E44" i="165"/>
  <c r="C48" i="165"/>
  <c r="E48" i="165"/>
  <c r="G48" i="165"/>
  <c r="C49" i="165"/>
  <c r="E49" i="165"/>
  <c r="G49" i="165"/>
  <c r="C50" i="165"/>
  <c r="E50" i="165"/>
  <c r="G50" i="165"/>
  <c r="C51" i="165"/>
  <c r="E51" i="165"/>
  <c r="G51" i="165"/>
  <c r="C53" i="165"/>
  <c r="E53" i="165"/>
  <c r="G53" i="165"/>
  <c r="G54" i="165"/>
  <c r="G55" i="165"/>
  <c r="G58" i="165"/>
  <c r="G59" i="165"/>
  <c r="C20" i="177"/>
  <c r="C21" i="177"/>
  <c r="C22" i="177"/>
  <c r="D26" i="177"/>
  <c r="E26" i="177"/>
  <c r="E27" i="177"/>
  <c r="D30" i="177"/>
  <c r="E30" i="177"/>
  <c r="E31" i="177"/>
  <c r="D33" i="177"/>
  <c r="E33" i="177"/>
  <c r="E34" i="177"/>
  <c r="D36" i="177"/>
  <c r="E36" i="177"/>
  <c r="E37" i="177"/>
  <c r="G42" i="177"/>
  <c r="H42" i="177"/>
  <c r="H43" i="177"/>
  <c r="D47" i="177"/>
  <c r="E47" i="177"/>
  <c r="D48" i="177"/>
  <c r="E48" i="177"/>
  <c r="E49" i="177"/>
  <c r="C53" i="177"/>
  <c r="E53" i="177"/>
  <c r="G53" i="177"/>
  <c r="C54" i="177"/>
  <c r="E54" i="177"/>
  <c r="G54" i="177"/>
  <c r="C55" i="177"/>
  <c r="E55" i="177"/>
  <c r="G55" i="177"/>
  <c r="C56" i="177"/>
  <c r="E56" i="177"/>
  <c r="G56" i="177"/>
  <c r="C57" i="177"/>
  <c r="E57" i="177"/>
  <c r="G57" i="177"/>
  <c r="C58" i="177"/>
  <c r="E58" i="177"/>
  <c r="G58" i="177"/>
  <c r="G59" i="177"/>
  <c r="G60" i="177"/>
  <c r="G63" i="177"/>
  <c r="G64" i="177"/>
  <c r="G65" i="177"/>
  <c r="G66" i="177"/>
  <c r="C21" i="187"/>
  <c r="C22" i="187"/>
  <c r="C23" i="187"/>
  <c r="C24" i="187"/>
  <c r="D28" i="187"/>
  <c r="E28" i="187"/>
  <c r="D29" i="187"/>
  <c r="E29" i="187"/>
  <c r="D30" i="187"/>
  <c r="E30" i="187"/>
  <c r="E31" i="187"/>
  <c r="D34" i="187"/>
  <c r="E34" i="187"/>
  <c r="D35" i="187"/>
  <c r="E35" i="187"/>
  <c r="D36" i="187"/>
  <c r="E36" i="187"/>
  <c r="E37" i="187"/>
  <c r="D39" i="187"/>
  <c r="E39" i="187"/>
  <c r="D40" i="187"/>
  <c r="E40" i="187"/>
  <c r="E41" i="187"/>
  <c r="D43" i="187"/>
  <c r="E43" i="187"/>
  <c r="D44" i="187"/>
  <c r="E44" i="187"/>
  <c r="E45" i="187"/>
  <c r="G50" i="187"/>
  <c r="H50" i="187"/>
  <c r="G51" i="187"/>
  <c r="H51" i="187"/>
  <c r="G52" i="187"/>
  <c r="H52" i="187"/>
  <c r="H53" i="187"/>
  <c r="D57" i="187"/>
  <c r="E57" i="187"/>
  <c r="D58" i="187"/>
  <c r="E58" i="187"/>
  <c r="D59" i="187"/>
  <c r="E59" i="187"/>
  <c r="E60" i="187"/>
  <c r="C64" i="187"/>
  <c r="E64" i="187"/>
  <c r="G64" i="187"/>
  <c r="C65" i="187"/>
  <c r="E65" i="187"/>
  <c r="G65" i="187"/>
  <c r="C66" i="187"/>
  <c r="E66" i="187"/>
  <c r="G66" i="187"/>
  <c r="C67" i="187"/>
  <c r="E67" i="187"/>
  <c r="G67" i="187"/>
  <c r="C68" i="187"/>
  <c r="E68" i="187"/>
  <c r="G68" i="187"/>
  <c r="C69" i="187"/>
  <c r="E69" i="187"/>
  <c r="G69" i="187"/>
  <c r="G70" i="187"/>
  <c r="G71" i="187"/>
  <c r="G74" i="187"/>
  <c r="G75" i="187"/>
  <c r="I75" i="187"/>
  <c r="C23" i="201"/>
  <c r="C24" i="201"/>
  <c r="C25" i="201"/>
  <c r="C26" i="201"/>
  <c r="C27" i="201"/>
  <c r="C28" i="201"/>
  <c r="D32" i="201"/>
  <c r="E32" i="201"/>
  <c r="D33" i="201"/>
  <c r="E33" i="201"/>
  <c r="D34" i="201"/>
  <c r="E34" i="201"/>
  <c r="E35" i="201"/>
  <c r="D38" i="201"/>
  <c r="E38" i="201"/>
  <c r="D39" i="201"/>
  <c r="E39" i="201"/>
  <c r="D40" i="201"/>
  <c r="E40" i="201"/>
  <c r="E41" i="201"/>
  <c r="D43" i="201"/>
  <c r="E43" i="201"/>
  <c r="D44" i="201"/>
  <c r="E44" i="201"/>
  <c r="E45" i="201"/>
  <c r="D47" i="201"/>
  <c r="E47" i="201"/>
  <c r="D48" i="201"/>
  <c r="E48" i="201"/>
  <c r="E49" i="201"/>
  <c r="G54" i="201"/>
  <c r="H54" i="201"/>
  <c r="G55" i="201"/>
  <c r="H55" i="201"/>
  <c r="G56" i="201"/>
  <c r="H56" i="201"/>
  <c r="H57" i="201"/>
  <c r="D61" i="201"/>
  <c r="E61" i="201"/>
  <c r="D62" i="201"/>
  <c r="E62" i="201"/>
  <c r="D63" i="201"/>
  <c r="E63" i="201"/>
  <c r="D64" i="201"/>
  <c r="E64" i="201"/>
  <c r="E65" i="201"/>
  <c r="C69" i="201"/>
  <c r="E69" i="201"/>
  <c r="G69" i="201"/>
  <c r="C70" i="201"/>
  <c r="E70" i="201"/>
  <c r="G70" i="201"/>
  <c r="C71" i="201"/>
  <c r="E71" i="201"/>
  <c r="G71" i="201"/>
  <c r="C72" i="201"/>
  <c r="E72" i="201"/>
  <c r="G72" i="201"/>
  <c r="C73" i="201"/>
  <c r="E73" i="201"/>
  <c r="G73" i="201"/>
  <c r="C74" i="201"/>
  <c r="E74" i="201"/>
  <c r="G74" i="201"/>
  <c r="G75" i="201"/>
  <c r="G76" i="201"/>
  <c r="G79" i="201"/>
  <c r="G80" i="201"/>
  <c r="G122" i="198"/>
  <c r="G123" i="198"/>
  <c r="G124" i="198"/>
  <c r="G125" i="198"/>
  <c r="G126" i="198"/>
  <c r="G127" i="198"/>
  <c r="H127" i="198"/>
  <c r="G128" i="198"/>
  <c r="G136" i="198"/>
  <c r="G137" i="198"/>
  <c r="H137" i="198"/>
  <c r="G139" i="198"/>
  <c r="G140" i="198"/>
</calcChain>
</file>

<file path=xl/comments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2.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3.xml><?xml version="1.0" encoding="utf-8"?>
<comments xmlns="http://schemas.openxmlformats.org/spreadsheetml/2006/main">
  <authors>
    <author>Henrique da Silva Sales Vaz Pinto</author>
    <author>Rogerio Rodrigues Pontes</author>
  </authors>
  <commentList>
    <comment ref="C24" authorId="0" shapeId="0">
      <text>
        <r>
          <rPr>
            <b/>
            <sz val="9"/>
            <color indexed="81"/>
            <rFont val="Segoe UI"/>
            <family val="2"/>
          </rPr>
          <t xml:space="preserve">Henrique Sales:
Pessoa: </t>
        </r>
        <r>
          <rPr>
            <sz val="9"/>
            <color indexed="81"/>
            <rFont val="Segoe UI"/>
            <family val="2"/>
          </rPr>
          <t xml:space="preserve">1 (uma)
</t>
        </r>
        <r>
          <rPr>
            <b/>
            <sz val="9"/>
            <color indexed="81"/>
            <rFont val="Segoe UI"/>
            <family val="2"/>
          </rPr>
          <t>Dias Trabalhados:</t>
        </r>
        <r>
          <rPr>
            <sz val="9"/>
            <color indexed="81"/>
            <rFont val="Segoe UI"/>
            <family val="2"/>
          </rPr>
          <t xml:space="preserve"> 23 (Escala 6x1 - 44 Horas Semanais)
</t>
        </r>
        <r>
          <rPr>
            <b/>
            <sz val="9"/>
            <color indexed="81"/>
            <rFont val="Segoe UI"/>
            <family val="2"/>
          </rPr>
          <t>Produtividade:</t>
        </r>
        <r>
          <rPr>
            <sz val="9"/>
            <color indexed="81"/>
            <rFont val="Segoe UI"/>
            <family val="2"/>
          </rPr>
          <t xml:space="preserve"> 800m²
</t>
        </r>
        <r>
          <rPr>
            <b/>
            <sz val="9"/>
            <color indexed="81"/>
            <rFont val="Segoe UI"/>
            <family val="2"/>
          </rPr>
          <t>Fórmula:</t>
        </r>
        <r>
          <rPr>
            <sz val="9"/>
            <color indexed="81"/>
            <rFont val="Segoe UI"/>
            <family val="2"/>
          </rPr>
          <t xml:space="preserve"> (Pessoa÷(Dias Trabalhados x Produtividade)) = Produtividade por 1m²
</t>
        </r>
        <r>
          <rPr>
            <b/>
            <sz val="9"/>
            <color indexed="81"/>
            <rFont val="Segoe UI"/>
            <family val="2"/>
          </rPr>
          <t>Obs.:</t>
        </r>
        <r>
          <rPr>
            <sz val="9"/>
            <color indexed="81"/>
            <rFont val="Segoe UI"/>
            <family val="2"/>
          </rPr>
          <t xml:space="preserve"> Utilizar o arrendendamento acima de 9 casas decimais
OU SEJA:
</t>
        </r>
        <r>
          <rPr>
            <b/>
            <sz val="9"/>
            <color indexed="81"/>
            <rFont val="Segoe UI"/>
            <family val="2"/>
          </rPr>
          <t>Fórmula: (1÷(dias mês*produtividades))</t>
        </r>
      </text>
    </comment>
    <comment ref="D37" authorId="1" shapeId="0">
      <text>
        <r>
          <rPr>
            <b/>
            <sz val="9"/>
            <color indexed="81"/>
            <rFont val="Segoe UI"/>
            <family val="2"/>
          </rPr>
          <t>Henrique Sales:</t>
        </r>
        <r>
          <rPr>
            <sz val="9"/>
            <color indexed="81"/>
            <rFont val="Segoe UI"/>
            <family val="2"/>
          </rPr>
          <t xml:space="preserve">
</t>
        </r>
        <r>
          <rPr>
            <b/>
            <sz val="9"/>
            <color indexed="81"/>
            <rFont val="Segoe UI"/>
            <family val="2"/>
          </rPr>
          <t>Metragem:</t>
        </r>
        <r>
          <rPr>
            <sz val="9"/>
            <color indexed="81"/>
            <rFont val="Segoe UI"/>
            <family val="2"/>
          </rPr>
          <t xml:space="preserve"> Total m² Fachadas
</t>
        </r>
        <r>
          <rPr>
            <b/>
            <sz val="9"/>
            <color indexed="81"/>
            <rFont val="Segoe UI"/>
            <family val="2"/>
          </rPr>
          <t>Frequência:</t>
        </r>
        <r>
          <rPr>
            <sz val="9"/>
            <color indexed="81"/>
            <rFont val="Segoe UI"/>
            <family val="2"/>
          </rPr>
          <t xml:space="preserve"> Mensal (1x por mês)
</t>
        </r>
        <r>
          <rPr>
            <b/>
            <sz val="9"/>
            <color indexed="81"/>
            <rFont val="Segoe UI"/>
            <family val="2"/>
          </rPr>
          <t>Produtividade:</t>
        </r>
        <r>
          <rPr>
            <sz val="9"/>
            <color indexed="81"/>
            <rFont val="Segoe UI"/>
            <family val="2"/>
          </rPr>
          <t xml:space="preserve"> 300m² (ou seja, se espera que 01 funcionário, seja capaz de limpar 300m² de área fisíca)
</t>
        </r>
        <r>
          <rPr>
            <b/>
            <sz val="9"/>
            <color indexed="81"/>
            <rFont val="Segoe UI"/>
            <family val="2"/>
          </rPr>
          <t>Jornada:</t>
        </r>
        <r>
          <rPr>
            <sz val="9"/>
            <color indexed="81"/>
            <rFont val="Segoe UI"/>
            <family val="2"/>
          </rPr>
          <t xml:space="preserve"> 8 horas diária (44hr semanais)
</t>
        </r>
        <r>
          <rPr>
            <b/>
            <sz val="9"/>
            <color indexed="81"/>
            <rFont val="Segoe UI"/>
            <family val="2"/>
          </rPr>
          <t>Fórmula:</t>
        </r>
        <r>
          <rPr>
            <sz val="9"/>
            <color indexed="81"/>
            <rFont val="Segoe UI"/>
            <family val="2"/>
          </rPr>
          <t xml:space="preserve"> (Metragem÷Produtividade) x Jornada = Frequência Mês em Horas (quantidade de horas que um funcionário leverá para limpar toda a área física)
</t>
        </r>
        <r>
          <rPr>
            <b/>
            <sz val="9"/>
            <color indexed="81"/>
            <rFont val="Segoe UI"/>
            <family val="2"/>
          </rPr>
          <t>Obs.: Arrendodar a formula (&lt; que 0,3 para baixo e &gt; que 0,3 para cima)
Obs2.: 0,3 equivale à 30 minutos</t>
        </r>
        <r>
          <rPr>
            <sz val="9"/>
            <color indexed="81"/>
            <rFont val="Segoe UI"/>
            <family val="2"/>
          </rPr>
          <t xml:space="preserve">
OU SEJA:
</t>
        </r>
        <r>
          <rPr>
            <b/>
            <sz val="9"/>
            <color indexed="81"/>
            <rFont val="Segoe UI"/>
            <family val="2"/>
          </rPr>
          <t>Fórmula: (Total m²÷300) x 8hs</t>
        </r>
      </text>
    </comment>
    <comment ref="E37" authorId="1" shapeId="0">
      <text>
        <r>
          <rPr>
            <b/>
            <sz val="9"/>
            <color indexed="81"/>
            <rFont val="Segoe UI"/>
            <family val="2"/>
          </rPr>
          <t>Rogerio Rodrigues Pontes:</t>
        </r>
        <r>
          <rPr>
            <sz val="9"/>
            <color indexed="81"/>
            <rFont val="Segoe UI"/>
            <family val="2"/>
          </rPr>
          <t xml:space="preserve">
Número de dias de trabalho por ano: 365 dias por ano.
Número de meses no ano: 12 meses
Número de dia por mês: 30 dias
Número de dias na semana: 7 dias
Número de semanas no mês: 30 ÷ 7 = 4,29 semanas
Números de horas semanais – jornada: 44 horas semanais
Número de hora no mês 4,29 x 44 = 188,76
Número de horas no trimestre = 566,28</t>
        </r>
      </text>
    </comment>
  </commentList>
</comments>
</file>

<file path=xl/comments4.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6.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7.xml><?xml version="1.0" encoding="utf-8"?>
<comments xmlns="http://schemas.openxmlformats.org/spreadsheetml/2006/main">
  <authors>
    <author>Henrique da Silva Sales Vaz Pinto</author>
    <author>Rogerio Rodrigues Pontes</author>
  </authors>
  <commentList>
    <comment ref="C26" authorId="0" shapeId="0">
      <text>
        <r>
          <rPr>
            <b/>
            <sz val="9"/>
            <color indexed="81"/>
            <rFont val="Segoe UI"/>
            <family val="2"/>
          </rPr>
          <t>Henrique Sales:</t>
        </r>
        <r>
          <rPr>
            <sz val="9"/>
            <color indexed="81"/>
            <rFont val="Segoe UI"/>
            <family val="2"/>
          </rPr>
          <t xml:space="preserve">
</t>
        </r>
        <r>
          <rPr>
            <b/>
            <sz val="9"/>
            <color indexed="81"/>
            <rFont val="Segoe UI"/>
            <family val="2"/>
          </rPr>
          <t>Pessoa:</t>
        </r>
        <r>
          <rPr>
            <sz val="9"/>
            <color indexed="81"/>
            <rFont val="Segoe UI"/>
            <family val="2"/>
          </rPr>
          <t xml:space="preserve"> 1 (uma)
</t>
        </r>
        <r>
          <rPr>
            <b/>
            <sz val="9"/>
            <color indexed="81"/>
            <rFont val="Segoe UI"/>
            <family val="2"/>
          </rPr>
          <t>Dias Trabalhados:</t>
        </r>
        <r>
          <rPr>
            <sz val="9"/>
            <color indexed="81"/>
            <rFont val="Segoe UI"/>
            <family val="2"/>
          </rPr>
          <t xml:space="preserve"> 21 (Escala 5x2 - 44 Horas Semanais)
</t>
        </r>
        <r>
          <rPr>
            <b/>
            <sz val="9"/>
            <color indexed="81"/>
            <rFont val="Segoe UI"/>
            <family val="2"/>
          </rPr>
          <t>Produtividade:</t>
        </r>
        <r>
          <rPr>
            <sz val="9"/>
            <color indexed="81"/>
            <rFont val="Segoe UI"/>
            <family val="2"/>
          </rPr>
          <t xml:space="preserve"> 800m²
</t>
        </r>
        <r>
          <rPr>
            <b/>
            <sz val="9"/>
            <color indexed="81"/>
            <rFont val="Segoe UI"/>
            <family val="2"/>
          </rPr>
          <t>Fórmula:</t>
        </r>
        <r>
          <rPr>
            <sz val="9"/>
            <color indexed="81"/>
            <rFont val="Segoe UI"/>
            <family val="2"/>
          </rPr>
          <t xml:space="preserve"> (Pessoa÷(Dias Trabalhados x Produtividade)) = Produtividade por 1m²
</t>
        </r>
        <r>
          <rPr>
            <b/>
            <sz val="9"/>
            <color indexed="81"/>
            <rFont val="Segoe UI"/>
            <family val="2"/>
          </rPr>
          <t>Obs.:</t>
        </r>
        <r>
          <rPr>
            <sz val="9"/>
            <color indexed="81"/>
            <rFont val="Segoe UI"/>
            <family val="2"/>
          </rPr>
          <t xml:space="preserve"> Utilizar o arrendendamento acima de 9 casas decimais
OU SEJA:
</t>
        </r>
        <r>
          <rPr>
            <b/>
            <sz val="9"/>
            <color indexed="81"/>
            <rFont val="Segoe UI"/>
            <family val="2"/>
          </rPr>
          <t xml:space="preserve">
Fórmula: (1÷(21*800))</t>
        </r>
      </text>
    </comment>
    <comment ref="D42" authorId="1" shapeId="0">
      <text>
        <r>
          <rPr>
            <b/>
            <sz val="9"/>
            <color indexed="81"/>
            <rFont val="Segoe UI"/>
            <family val="2"/>
          </rPr>
          <t xml:space="preserve">Henrique da Silva Sales:
Metragem: </t>
        </r>
        <r>
          <rPr>
            <sz val="9"/>
            <color indexed="81"/>
            <rFont val="Segoe UI"/>
            <family val="2"/>
          </rPr>
          <t>165,42m²</t>
        </r>
        <r>
          <rPr>
            <b/>
            <sz val="9"/>
            <color indexed="81"/>
            <rFont val="Segoe UI"/>
            <family val="2"/>
          </rPr>
          <t xml:space="preserve">
Frequência: </t>
        </r>
        <r>
          <rPr>
            <sz val="9"/>
            <color indexed="81"/>
            <rFont val="Segoe UI"/>
            <family val="2"/>
          </rPr>
          <t>Mensal (1x por mês)</t>
        </r>
        <r>
          <rPr>
            <b/>
            <sz val="9"/>
            <color indexed="81"/>
            <rFont val="Segoe UI"/>
            <family val="2"/>
          </rPr>
          <t xml:space="preserve">
Produtividade: </t>
        </r>
        <r>
          <rPr>
            <sz val="9"/>
            <color indexed="81"/>
            <rFont val="Segoe UI"/>
            <family val="2"/>
          </rPr>
          <t>300m² (ou seja, se espera que 01 funcionário, seja capaz de limpar 300m² de área fisíca)</t>
        </r>
        <r>
          <rPr>
            <b/>
            <sz val="9"/>
            <color indexed="81"/>
            <rFont val="Segoe UI"/>
            <family val="2"/>
          </rPr>
          <t xml:space="preserve">
Jornada: </t>
        </r>
        <r>
          <rPr>
            <sz val="9"/>
            <color indexed="81"/>
            <rFont val="Segoe UI"/>
            <family val="2"/>
          </rPr>
          <t>8 horas diária (44hr semanais)</t>
        </r>
        <r>
          <rPr>
            <b/>
            <sz val="9"/>
            <color indexed="81"/>
            <rFont val="Segoe UI"/>
            <family val="2"/>
          </rPr>
          <t xml:space="preserve">
Fórmula:</t>
        </r>
        <r>
          <rPr>
            <sz val="9"/>
            <color indexed="81"/>
            <rFont val="Segoe UI"/>
            <family val="2"/>
          </rPr>
          <t xml:space="preserve"> (Metragem ÷ Produtividade) x Jornada = Frequência Mês em Horas (quantidade de horas que um funcionário leverá para limpar toda a área física)</t>
        </r>
        <r>
          <rPr>
            <b/>
            <sz val="9"/>
            <color indexed="81"/>
            <rFont val="Segoe UI"/>
            <family val="2"/>
          </rPr>
          <t xml:space="preserve">
Obs1.: Arrendodar a formula (&lt; que 0,3 para baixo e &gt; que 0,3 para cima)
Obs2.: 0,3 equivale à 30 minutos
</t>
        </r>
        <r>
          <rPr>
            <sz val="9"/>
            <color indexed="81"/>
            <rFont val="Segoe UI"/>
            <family val="2"/>
          </rPr>
          <t>OU SEJA:</t>
        </r>
        <r>
          <rPr>
            <b/>
            <sz val="9"/>
            <color indexed="81"/>
            <rFont val="Segoe UI"/>
            <family val="2"/>
          </rPr>
          <t xml:space="preserve">
Fórmula: (Total m²/300) x 8</t>
        </r>
      </text>
    </comment>
    <comment ref="E42" authorId="1" shapeId="0">
      <text>
        <r>
          <rPr>
            <b/>
            <sz val="9"/>
            <color indexed="81"/>
            <rFont val="Segoe UI"/>
            <family val="2"/>
          </rPr>
          <t>Rogerio Rodrigues Pontes:</t>
        </r>
        <r>
          <rPr>
            <sz val="9"/>
            <color indexed="81"/>
            <rFont val="Segoe UI"/>
            <family val="2"/>
          </rPr>
          <t xml:space="preserve">
Número de dias de trabalho por ano: 365 dias por ano.
Número de meses no ano: 12 meses
Número de dia por mês: 30 dias
Número de dias na semana: 7 dias
Número de semanas no mês: 30 ÷ 7 = 4,29 semanas
Números de horas semanais – jornada: 44 horas semanais
Número de hora no mês 4,29 x 44 = 188,76
Número de horas no trimestre = 566,28</t>
        </r>
      </text>
    </comment>
  </commentList>
</comments>
</file>

<file path=xl/comments8.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9.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0.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2.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3.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4.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6.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7.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<sst xmlns="http://schemas.openxmlformats.org/spreadsheetml/2006/main" count="4019" uniqueCount="508">
  <si>
    <t>Categoria Profissional:</t>
  </si>
  <si>
    <t>Salário Normativo da Categoria Profissional:</t>
  </si>
  <si>
    <t>MODULO 1 - COMPOSIÇÃO DA REMUNERAÇÃO</t>
  </si>
  <si>
    <t>Valor Total</t>
  </si>
  <si>
    <t>VALOR MENSAL PELO TOTAL DE POSTOS DE SERVIÇO</t>
  </si>
  <si>
    <t>I - DISCRIMINAÇÃO DOS SERVIÇOS</t>
  </si>
  <si>
    <t>DADOS COMPLEMENTARES</t>
  </si>
  <si>
    <t>Salário mínimo oficial vigente:</t>
  </si>
  <si>
    <t>Data Base da Categoria:</t>
  </si>
  <si>
    <t>12 MESES</t>
  </si>
  <si>
    <t>Período contratual:</t>
  </si>
  <si>
    <t>Município/UF:</t>
  </si>
  <si>
    <t>ISS</t>
  </si>
  <si>
    <t>TOTAL TAXA GLOBAL DE ADMINISTRAÇÃO</t>
  </si>
  <si>
    <t>PLANILHA DE CUSTO E FORMAÇÃO DE PREÇOS</t>
  </si>
  <si>
    <t>Adicional Insalubridade</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</si>
  <si>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</si>
  <si>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</si>
  <si>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</si>
  <si>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</si>
  <si>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</si>
  <si>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</si>
  <si>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</si>
  <si>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</si>
  <si>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</si>
  <si>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</si>
  <si>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</si>
  <si>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</si>
  <si>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</si>
  <si>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</si>
  <si>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</si>
  <si>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</si>
  <si>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</si>
  <si>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</si>
  <si>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</si>
  <si>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</si>
  <si>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</si>
  <si>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</si>
  <si>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</si>
  <si>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</si>
  <si>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</si>
  <si>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</si>
  <si>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</si>
  <si>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</si>
  <si>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</si>
  <si>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</si>
  <si>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</si>
  <si>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</si>
  <si>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</si>
  <si>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</si>
  <si>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</si>
  <si>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</si>
  <si>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</si>
  <si>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</si>
  <si>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</si>
  <si>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</si>
  <si>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</si>
  <si>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</si>
  <si>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</si>
  <si>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</si>
  <si>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</si>
  <si>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</si>
  <si>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</si>
  <si>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</si>
  <si>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</si>
  <si>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</si>
  <si>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</si>
  <si>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</si>
  <si>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</si>
  <si>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</si>
  <si>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</si>
  <si>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</si>
  <si>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</si>
  <si>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</si>
  <si>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</si>
  <si>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</si>
  <si>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</si>
  <si>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</si>
  <si>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</si>
  <si>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</si>
  <si>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</si>
  <si>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</si>
  <si>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</si>
  <si>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</si>
  <si>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</si>
  <si>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</si>
  <si>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</si>
  <si>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</si>
  <si>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</si>
  <si>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</si>
  <si>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</si>
  <si>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</si>
  <si>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</si>
  <si>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</si>
  <si>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</si>
  <si>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</si>
  <si>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</si>
  <si>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</si>
  <si>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</si>
  <si>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</si>
  <si>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</si>
  <si>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</si>
  <si>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</si>
  <si>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</si>
  <si>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</si>
  <si>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</si>
  <si>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</si>
  <si>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</si>
  <si>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</si>
  <si>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</si>
  <si>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</si>
  <si>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</si>
  <si>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</si>
  <si>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</si>
  <si>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</si>
  <si>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</si>
  <si>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</si>
  <si>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Adicional Periculosidade</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</si>
  <si>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</si>
  <si>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</si>
  <si>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</si>
  <si>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</si>
  <si>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</si>
  <si>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</si>
  <si>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</si>
  <si>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</si>
  <si>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</si>
  <si>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</si>
  <si>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</si>
  <si>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</si>
  <si>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 xml:space="preserve">IntrajornadaCobertura de Feriados, Dias Ponte, e outros </t>
  </si>
  <si>
    <t>4.2.1</t>
  </si>
  <si>
    <t xml:space="preserve">Valor Unitário </t>
  </si>
  <si>
    <t>Quantidade</t>
  </si>
  <si>
    <t>Multa do FGTS  sobre o Aviso Prévio Indenizado</t>
  </si>
  <si>
    <t xml:space="preserve">Multa do FGTS sobre o Aviso Prévio Trabalhado. </t>
  </si>
  <si>
    <t>Submódulos 4.2 e 4.2.1</t>
  </si>
  <si>
    <t>Sub módulo 2.2 (Anexar junto com as planilhas)</t>
  </si>
  <si>
    <t>Módulo 6 (Anexar junto com as planilhas Arquivos e Documentos para comprovação das alíquotas efetivas para empresas optantes pelo regime tributário Lucro Real)</t>
  </si>
  <si>
    <t>Módulo 6 (Anexar junto com as planilhas documentos para comprovação tributária)</t>
  </si>
  <si>
    <t>44 HORAS SEMANAIS</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</si>
  <si>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</si>
  <si>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Planilhas Modelo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</si>
  <si>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</si>
  <si>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Módulo 6 - Observação: optantes pelo SIMPLES Nacional na prestação de serviços de vigilância, limpeza ou conservação.</t>
  </si>
  <si>
    <t>OBSERVAÇÕES  RELATIVAS AS PLANILHAS DE CUSTOS E FORMAÇÃO DE PREÇOS</t>
  </si>
  <si>
    <t>Sindicato: SEAC/SP SINDICATO DAS EMPRESAS DE ASSEIO E CONSERVAÇÃO NO ESTADO DE SAO PAULO e SIEMACO-SP - SINDICATO TRABALHADORES EMPRESAS PRESTACAO DE SERVICOS DE ASSEIO E CONSERVACAO E LIMPEZA URBANA DE SP</t>
  </si>
  <si>
    <t>LIMPEZA</t>
  </si>
  <si>
    <t>5143-20</t>
  </si>
  <si>
    <t>Benefício Médico Ambulatorial e Odontológico</t>
  </si>
  <si>
    <t xml:space="preserve">Dia Trabalhador em Asseio e Conservação </t>
  </si>
  <si>
    <t>I</t>
  </si>
  <si>
    <t>Outros (Especificar)</t>
  </si>
  <si>
    <t>Salário Base</t>
  </si>
  <si>
    <t>Adicional de Liderança</t>
  </si>
  <si>
    <t>DSR Sobre Adicional Noturno</t>
  </si>
  <si>
    <t>Outrros (especificar)</t>
  </si>
  <si>
    <t xml:space="preserve">Ferias e terço constitucional </t>
  </si>
  <si>
    <t>C.4</t>
  </si>
  <si>
    <t>ENTRADA DE DADOS</t>
  </si>
  <si>
    <t>Observações:</t>
  </si>
  <si>
    <t>área externa</t>
  </si>
  <si>
    <t xml:space="preserve"> %</t>
  </si>
  <si>
    <t>área interna</t>
  </si>
  <si>
    <t xml:space="preserve">Preço por m² mensal
 (R$/m²) </t>
  </si>
  <si>
    <t>Tipo de área</t>
  </si>
  <si>
    <t>Subtotal(R$/m²)
( IV )x( V )</t>
  </si>
  <si>
    <t>Preço do homem-mês ( V )</t>
  </si>
  <si>
    <t>Coeficiente (ki)
( I )x( II )x( III )=( IV )</t>
  </si>
  <si>
    <t>preço por m² total - área externa</t>
  </si>
  <si>
    <t>preço por m² total - área interna</t>
  </si>
  <si>
    <t>Subtotal (R$/m²)
( I ) x ( II )</t>
  </si>
  <si>
    <t>Preço do homem-mês ( II )</t>
  </si>
  <si>
    <t>TOTAL</t>
  </si>
  <si>
    <t>Áreas reais da unidade (em M²)</t>
  </si>
  <si>
    <t>Agente de Higienização</t>
  </si>
  <si>
    <t>Produtividade/ m²</t>
  </si>
  <si>
    <t>Produtividade ( I )
(1/m²) (1)</t>
  </si>
  <si>
    <t>Valor m.o./ mês</t>
  </si>
  <si>
    <t>Auxílio Creche</t>
  </si>
  <si>
    <t>Benefício Social</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</si>
  <si>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</si>
  <si>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</si>
  <si>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4 - Nas planilhas de insumos a periodicidade/mês e o quantitativo devem ser preenchidos conforme informações constantes no Edital</t>
  </si>
  <si>
    <t>6 - Ao utilizar utilizar as planilhas Modelo editáveis da CEAGESP sugere-se seguir o preenchimento na ordem em que se encontram para facilitar a integração dos cálculos e manutenção das fórmulas</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</si>
  <si>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</si>
  <si>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</si>
  <si>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Módulo 3 Item D (Custos não renováveis)</t>
  </si>
  <si>
    <t>OBSERVAÇÕES GERAIS</t>
  </si>
  <si>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</si>
  <si>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</si>
  <si>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Incidência do Sub módulo 2.2</t>
  </si>
  <si>
    <r>
      <t xml:space="preserve">(4) </t>
    </r>
    <r>
      <rPr>
        <sz val="11"/>
        <rFont val="Arial Narrow"/>
        <family val="2"/>
      </rPr>
      <t>Freqüência  em horas por mês, no caso da área de vidros - fachada interna.</t>
    </r>
  </si>
  <si>
    <t>Tipos de Áreas (1)</t>
  </si>
  <si>
    <t xml:space="preserve">Preço do homem-mês (2) : </t>
  </si>
  <si>
    <t>CATEGORIA SINDICAL - Acordos e Convenções Coletivas</t>
  </si>
  <si>
    <t>Acordos e Convenções Coletivas</t>
  </si>
  <si>
    <t>Apresentar cópia dos Acordos e Convenções Coletivas que a Licitante utilizou para compor salários e benefícios na planilha de custos e formaão de preços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</si>
  <si>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</si>
  <si>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</si>
  <si>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</si>
  <si>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</si>
  <si>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Os salários e beneficios utilizados nos modelos de planilhas de custos e formação de preços constantes no Edital tem como base a Convenção Coletiva de Trabalho 2023 das referidas categorias dos postos de serviços. Observa-se ainda que funções não definidas em convenção coletiva serão corrigidas de acordo com o percentual de reajuste definido na convenção coletiva de trabalho utilizada pela licitante.</t>
  </si>
  <si>
    <t>Prever nas planilhas de custos conforme legislação vigente (se necessário)</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</si>
  <si>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</si>
  <si>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</si>
  <si>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Cálculo dos Submódulos 4.2 e 4.2.1 somente se previstos no Instrumento Convocatório</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</si>
  <si>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</si>
  <si>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MEMÓRIA DE CÁLCULO</t>
  </si>
  <si>
    <t>Adicional de Insalubridade e Periculosidade</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</si>
  <si>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</si>
  <si>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A LICITANTE DEVERÁ APRESENTAR/DESCREVER A MEMÓRIA DE CÁLCULO UTILIZADA NOS DIVERSOS MÓDULOS DE SUAS PLANILHAS DE CUSTOS E JUSTIFICÁ-LAS QUANDO NECESSÁRIO.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</si>
  <si>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</si>
  <si>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Os valores contidos neste quadro devem espelhar a PROPOSTA COMERCIAL.</t>
  </si>
  <si>
    <t>DIURNO</t>
  </si>
  <si>
    <t>Sindicato: SINDVERDE - SINDICATO DAS EMPRESAS DE MANUTENCAO E EXECUCAO DE AREAS VERDES PÚBLICAS E PRIVADAS DO ESTADO DE SÃO PAULO</t>
  </si>
  <si>
    <t>Jardineiro</t>
  </si>
  <si>
    <t>Dia Trabalhador</t>
  </si>
  <si>
    <t>6220-10</t>
  </si>
  <si>
    <t>INSUMOS DIVERSOS DE MÃO-DE-OBRA</t>
  </si>
  <si>
    <t>Escova para higienização de vaso sanitário</t>
  </si>
  <si>
    <t>Esponja Dupla Face</t>
  </si>
  <si>
    <t>Frasco Pulverizador</t>
  </si>
  <si>
    <t>Pano de Flanela Branco</t>
  </si>
  <si>
    <t>Pano de Saco Branco</t>
  </si>
  <si>
    <t>TOTAL MÉDIA MENSAL</t>
  </si>
  <si>
    <t>UTENSÍLIOS (Uso Geral)</t>
  </si>
  <si>
    <t>MÁQUINAS E EQUIPAMENTOS (Uso Geral)</t>
  </si>
  <si>
    <t>DEPRECIAÇÃO ANUAL %</t>
  </si>
  <si>
    <t>TOTAL  MENSAL</t>
  </si>
  <si>
    <t>EPI's</t>
  </si>
  <si>
    <t>MATERIAIS SOB EXPENSAS</t>
  </si>
  <si>
    <t>PERIODICIDADE/Meses</t>
  </si>
  <si>
    <t>Relógio Biométrico</t>
  </si>
  <si>
    <t>Demais itens especificados no Termo de Referência</t>
  </si>
  <si>
    <t>Respirador descartável para poeira e gases (P2)</t>
  </si>
  <si>
    <t>Esponja de lã de aço - pacote c/ 8 unidades</t>
  </si>
  <si>
    <t>ÁREAS INTERNAS</t>
  </si>
  <si>
    <t>AREAS VERDES</t>
  </si>
  <si>
    <t>SANITÁRIOS</t>
  </si>
  <si>
    <t>sanitários</t>
  </si>
  <si>
    <t>preço por m² total - sanitários</t>
  </si>
  <si>
    <t>área verde</t>
  </si>
  <si>
    <t>áreas verdes</t>
  </si>
  <si>
    <t>Dimensionamento de Pessoas</t>
  </si>
  <si>
    <t>Frequência mês     (II)
 (em horas)</t>
  </si>
  <si>
    <t>Jornada no mês (III)
(em horas)</t>
  </si>
  <si>
    <t>preço por m² total - área verde</t>
  </si>
  <si>
    <t>AREAS EXTERNAS</t>
  </si>
  <si>
    <t>Área (m²) / Mês</t>
  </si>
  <si>
    <t>Limite por tipo de 
área(R$) / Mês</t>
  </si>
  <si>
    <t>Área (m²) / Anual</t>
  </si>
  <si>
    <t>Limite por tipo de 
área(R$) Anual</t>
  </si>
  <si>
    <r>
      <t>(1)</t>
    </r>
    <r>
      <rPr>
        <sz val="11"/>
        <rFont val="Arial Narrow"/>
        <family val="2"/>
      </rPr>
      <t xml:space="preserve"> Produtividades auferidas de acordo com o Termo de Referência e informações enviadas pela área gestora.</t>
    </r>
  </si>
  <si>
    <t>Prêmio Assiduidade</t>
  </si>
  <si>
    <t>Auxílio Saúde</t>
  </si>
  <si>
    <t>Balde plástico com alças – 20 litros</t>
  </si>
  <si>
    <t>Colher de Pedreiro - 8 polegadas</t>
  </si>
  <si>
    <t>Escova de Limpeza Oval - Base Plástica</t>
  </si>
  <si>
    <t>Fita zebrada de filme polietileno 70mm x 200m</t>
  </si>
  <si>
    <t>Pá de Lixo Coletora de Metal com Cabo Longo</t>
  </si>
  <si>
    <t>Placa Sinalizadora Cavalete de Alerta das Atividades</t>
  </si>
  <si>
    <t>Rodo de 40 cm com Cabo Longo</t>
  </si>
  <si>
    <t xml:space="preserve">Rodo de 80 cm com Cabo Longo </t>
  </si>
  <si>
    <t>Vassoura Multiuso com Cabo - Cerdas de Fibra</t>
  </si>
  <si>
    <t>Vassoura de Palha Caipira</t>
  </si>
  <si>
    <t>Água sanitária – galão com 5 litros</t>
  </si>
  <si>
    <t>Detergente líquido neutro biodegradável – frasco com 500 ml</t>
  </si>
  <si>
    <t>Detergente líquido neutro biodegradável – galão com 5 litros</t>
  </si>
  <si>
    <t>Desinfetante líquido biodegradável – galão com 5 litros</t>
  </si>
  <si>
    <t>Limpador multiuso - frasco com 500ml</t>
  </si>
  <si>
    <t>Limpa pedra biodegradável – galão com 5 litros</t>
  </si>
  <si>
    <t>Pano de prato branco (unidade)</t>
  </si>
  <si>
    <t>Pedra sanitária biodegrável (unidade)</t>
  </si>
  <si>
    <t>Sabão em barra biodegradável - 200g</t>
  </si>
  <si>
    <t>Sabão em pó biodegradável (kg)</t>
  </si>
  <si>
    <t>Saponáceo líquido – frasco 250 ml</t>
  </si>
  <si>
    <t>Enxada com Cabo Longo</t>
  </si>
  <si>
    <t>Cavadeira Articulada com Cabo Longo</t>
  </si>
  <si>
    <t>Vanga com ponta e Cabo Longo</t>
  </si>
  <si>
    <t>Garfo de 4 dentes com Cabo Longo</t>
  </si>
  <si>
    <t>Rastelo Metálico de 18 dentes com Cabo Longo</t>
  </si>
  <si>
    <t xml:space="preserve">Materiais e utensiílios para manutenção de jardins </t>
  </si>
  <si>
    <t>Tesoura de poda e grama cerca viva tipo tramontina</t>
  </si>
  <si>
    <t>Serrote para madeira de 40 cm</t>
  </si>
  <si>
    <t>Extensão elétrica cabo PP 10/20A – 30m</t>
  </si>
  <si>
    <t>Mangueira doméstica de 50 m</t>
  </si>
  <si>
    <t>Podador a Altura a gasolina 2 Tempos 52 CC</t>
  </si>
  <si>
    <t>Roçadeira costal movida a gasolina (profissional)</t>
  </si>
  <si>
    <t>Pulverizador costal ou similar com capacidade de 20 litros</t>
  </si>
  <si>
    <t>Camiseta de malha de algodão manga curta c/ emblema da empresa</t>
  </si>
  <si>
    <t>Camiseta de malha de algodão manga longa c/ emblema da empresa</t>
  </si>
  <si>
    <t>Calça comprida em tecido brim ou poliéster, com elástico, cordão e bolso (cargo)</t>
  </si>
  <si>
    <t>Boné de brim com proteção de pescoço removível</t>
  </si>
  <si>
    <t>Meia de algodão</t>
  </si>
  <si>
    <t>Agasalho/Jaqueta em moletom</t>
  </si>
  <si>
    <t>Botina de couro com solado de borracha, palmilha de fibra não metálica resistente à perfuração e biqueira de composite</t>
  </si>
  <si>
    <t>Botina de borracha impermeável de cano longo</t>
  </si>
  <si>
    <t>Caneleira/perneira de proteção para roçadeira (par)</t>
  </si>
  <si>
    <t>Capa Longa Impermeável com Capuz (amarela)</t>
  </si>
  <si>
    <t>Luvas de Borracha para limpeza com Cano Longo (par)</t>
  </si>
  <si>
    <t>Luvas para Operador de Motosserra (par)</t>
  </si>
  <si>
    <t>Macacão ou Jardineira Impermeável</t>
  </si>
  <si>
    <t>Óculos de Proteção com Armação de ampla visão e ventilação</t>
  </si>
  <si>
    <t>Protetor solar hipoalergênico - FPS 60</t>
  </si>
  <si>
    <t>Repelente</t>
  </si>
  <si>
    <t>Abafador de Ruído Tipo Concha</t>
  </si>
  <si>
    <t xml:space="preserve">Armario Roupeiro para vestiário (1 porta para cada funcionário) </t>
  </si>
  <si>
    <t>Bebedouro elétrico em rede de cano d`água ou galão</t>
  </si>
  <si>
    <t>Forno micro-ondas</t>
  </si>
  <si>
    <t>Geladeira (Refrigerador) - 240 Litros</t>
  </si>
  <si>
    <t>vidros- fachada interna e externa (3)</t>
  </si>
  <si>
    <t>preço por m² total - esquadria interna e externa</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</si>
  <si>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adaptados conforme as caracteristicas e particularidades de cada empresa licitante.</t>
  </si>
  <si>
    <t>MATERIAIS E UTENSÍLIOS - Limpeza e Conservação</t>
  </si>
  <si>
    <t>Protetor para roçagem (flexível) 5,0m x 1,5m altura – fixação no solo</t>
  </si>
  <si>
    <t>TOTAL MENSAL</t>
  </si>
  <si>
    <r>
      <t>(3)</t>
    </r>
    <r>
      <rPr>
        <sz val="11"/>
        <rFont val="Arial Narrow"/>
        <family val="2"/>
      </rPr>
      <t xml:space="preserve"> Freqüência  em horas por mês, no caso da área de vidros - fachada externa.</t>
    </r>
  </si>
  <si>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</si>
  <si>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Cone de sinalização com 75 cm de altura, 2 faixas refletivas e orifício na parte supeior</t>
  </si>
  <si>
    <t>Conjunto MOP úmido profissional (ou similar)</t>
  </si>
  <si>
    <t>Refil do Conjunto MOP úmido profissional (ou similar)</t>
  </si>
  <si>
    <t>Espanador</t>
  </si>
  <si>
    <t>Espátula</t>
  </si>
  <si>
    <t>Extensão elétrica 20m</t>
  </si>
  <si>
    <t xml:space="preserve">Mangueira 30m </t>
  </si>
  <si>
    <t>Raspador</t>
  </si>
  <si>
    <t>Rodo de 30 cm com Cabo Longo</t>
  </si>
  <si>
    <t>Rodo de 60 cm com Cabo Longo</t>
  </si>
  <si>
    <t>Saco plástico para lixo 20L - (kg)</t>
  </si>
  <si>
    <t>Saco plástico para lixo 40L - (kg)</t>
  </si>
  <si>
    <t>Saco plástico para lixo 60L - (kg)</t>
  </si>
  <si>
    <t>Saco plástico para lixo 100L - (kg)</t>
  </si>
  <si>
    <t>Saco plástico para lixo 200L - (kg)</t>
  </si>
  <si>
    <t>Vassoura Multiuso com Cabo – Cerdas Rígidas (60 cm)</t>
  </si>
  <si>
    <t>Vassourão tipo Gari (30 cm)</t>
  </si>
  <si>
    <t>Vassourão tipo Gari (60 cm)</t>
  </si>
  <si>
    <t>Vassoura de metal de jardinagem Cabo Longo</t>
  </si>
  <si>
    <t>Rastelo Plástico de 22 dentes com Cabo Longo</t>
  </si>
  <si>
    <t>Papel higiênico institucional, rolos de 600m x 10cm – 100% celulose virgem, pacote com 08 rolos</t>
  </si>
  <si>
    <t>Papel higiênico branco, picotado 1º qualidade – 100% celulose virgem, alta absorção, extra macio, folhas duplas, rolos com 30 metros x 10cm, fardo com 64 rolos</t>
  </si>
  <si>
    <t>Papel higiênico branco, picotado 1º qualidade – 100% celulose virgem, alta absorção, extra macio, folhas duplas, rolos com 30 metros x 10cm, fardo com 32 rolos</t>
  </si>
  <si>
    <t>Papel toalha branco intercalado 20 x 21cm, 02 dobras, fardo c/1000 fls.</t>
  </si>
  <si>
    <t>Sabonete líquido neutro biodegradável - galão com 5 litros</t>
  </si>
  <si>
    <t>Suporte para papel higiênico de 30m x 10cm</t>
  </si>
  <si>
    <t>Suporte para papel higiênico de 600m x 10cm</t>
  </si>
  <si>
    <t>Suporte para papel toalha de 20cm x 200m</t>
  </si>
  <si>
    <t>Saboneteira tipo dispenser</t>
  </si>
  <si>
    <t>Álcool etílico diluído 70º (litro)</t>
  </si>
  <si>
    <t>Sabonete 85g</t>
  </si>
  <si>
    <t>Cera líquida - frasco c/750ml</t>
  </si>
  <si>
    <t>Tambor de ferro - 200 litros</t>
  </si>
  <si>
    <t>Tambor de plástico - 200 litros</t>
  </si>
  <si>
    <t>Periodicidade / Meses</t>
  </si>
  <si>
    <t>Enxadão com Cabo Longo</t>
  </si>
  <si>
    <t>Escova de aço</t>
  </si>
  <si>
    <t>Carrinho de mão pneu maciço (50 litros)</t>
  </si>
  <si>
    <t>Girica com duas rodas e pneu automotivo 165 x 60 x 13</t>
  </si>
  <si>
    <t>Carrinho de mão tipo baleia com caçamba de polietileno e pneu maciço (200 litros)</t>
  </si>
  <si>
    <t>Foice</t>
  </si>
  <si>
    <t>Rastelo Plástico de 30 dentes com Cabo Longo</t>
  </si>
  <si>
    <t>Regador 14 litros</t>
  </si>
  <si>
    <t>Serrote de poda de 14 polegadas</t>
  </si>
  <si>
    <t>Vassoura de Metal de Jardinagem com Cabo Longo</t>
  </si>
  <si>
    <t>Cone de sinalização - polietileno, base quadrada com 110x60x60 e faixas refletivas</t>
  </si>
  <si>
    <t>Escada doméstica 5 degraus</t>
  </si>
  <si>
    <t>Escada grande externa</t>
  </si>
  <si>
    <t>Máquina de Pressão VAP ou similar (Profissional)</t>
  </si>
  <si>
    <t>Aspirador de pó para sólido e líquido</t>
  </si>
  <si>
    <t>Carrinho plataforma fechado em tela para carga, com 4 rodas maciças (1,5m x 0,80m) 100 litros</t>
  </si>
  <si>
    <t>Carrinho de carga duas rodas tipo tubular para 200 kg</t>
  </si>
  <si>
    <t>Carrinho de mão tipo carriola reforçada com pneu e câmara de ar (65 litros)</t>
  </si>
  <si>
    <t>Carrinho tipo Lutocar plástico (polietileno) 100 litros</t>
  </si>
  <si>
    <t>Carrinho tipo Lutocar plástico (polietileno) 240 litros</t>
  </si>
  <si>
    <t>Girica duas rodas pneu automotivo 165x60x13</t>
  </si>
  <si>
    <t>Girica uma roda pneu automotivo 165x60x13</t>
  </si>
  <si>
    <t>Soprador de folhas à gasolina 41,5 cc</t>
  </si>
  <si>
    <t>Soprador de folha à gasolina 56,5 cc</t>
  </si>
  <si>
    <t>Rádio Comunicador (HT)</t>
  </si>
  <si>
    <t>Chapéu de aba larga</t>
  </si>
  <si>
    <t>Crachá de Identificação</t>
  </si>
  <si>
    <t>UNIFORMES</t>
  </si>
  <si>
    <t>Colete de Proteção Refletivo</t>
  </si>
  <si>
    <t>Luvas de Vaqueta com Cano Curto (par)</t>
  </si>
  <si>
    <t>Botas de borracha cano longo (par)</t>
  </si>
  <si>
    <t>Avental de raspa</t>
  </si>
  <si>
    <t>Capacete de segurança com protetor facial</t>
  </si>
  <si>
    <t>Máscara (respirador) com carvão ativado</t>
  </si>
  <si>
    <t>Protetor auricular</t>
  </si>
  <si>
    <t>Rodo Limpa Vidro com cabo extensor de até 4,5m</t>
  </si>
  <si>
    <t>Valor</t>
  </si>
  <si>
    <t>MATERIAIS E UTENSÍLIOS - Jardinagem</t>
  </si>
  <si>
    <t>OBJETO: PRESTAÇÃO DE SERVIÇOS DE LIMPEZA, CONSERVAÇÃO E HIGIENIZAÇÃO EM DIVERSOS ENTREPOSTO DO INTERIOR</t>
  </si>
  <si>
    <t>Limpeza e Conservação</t>
  </si>
  <si>
    <t>Ajudante de Serviços Diversos</t>
  </si>
  <si>
    <t>5143-25</t>
  </si>
  <si>
    <t xml:space="preserve">Salário </t>
  </si>
  <si>
    <t xml:space="preserve">Ferias e terço  constitucional </t>
  </si>
  <si>
    <t>Multa do FGTS sobre o Aviso Prévio Indenizado</t>
  </si>
  <si>
    <t xml:space="preserve">Intrajornada Cobertura de Feriados, Dias Ponte, e outros </t>
  </si>
  <si>
    <r>
      <t xml:space="preserve">Substituto na cobertura de Férias </t>
    </r>
    <r>
      <rPr>
        <sz val="10"/>
        <rFont val="Arial Narrow"/>
        <family val="2"/>
      </rPr>
      <t>(Somente se não aportado no submódulo 2.1)</t>
    </r>
  </si>
  <si>
    <r>
      <t xml:space="preserve">Substituto na cobertura de Afastamento Maternidade </t>
    </r>
    <r>
      <rPr>
        <sz val="10"/>
        <rFont val="Arial Narrow"/>
        <family val="2"/>
      </rPr>
      <t>(aportar no 4.1.1)</t>
    </r>
  </si>
  <si>
    <t>VALOR PELO PERÍODO DE 12 MESES DO TOTAL DE POSTOS DE SERVIÇO</t>
  </si>
  <si>
    <t>SANITÁRIOS (Diuturno)</t>
  </si>
  <si>
    <t>sanitários (diuturno)</t>
  </si>
  <si>
    <t>áreas envidraçadas</t>
  </si>
  <si>
    <t>ÁREAS ENVIDRAÇADAS</t>
  </si>
  <si>
    <r>
      <rPr>
        <b/>
        <sz val="11"/>
        <rFont val="Arial Narrow"/>
        <family val="2"/>
      </rPr>
      <t xml:space="preserve">(2) </t>
    </r>
    <r>
      <rPr>
        <sz val="11"/>
        <rFont val="Arial Narrow"/>
        <family val="2"/>
      </rPr>
      <t>O preço do homem-mês está acrescido da provisão dos insumos diversos.</t>
    </r>
  </si>
  <si>
    <t>Limite Máximo Contratação por Tipo de Área mensal (R$)</t>
  </si>
  <si>
    <t>Tratorista</t>
  </si>
  <si>
    <t>6410-15</t>
  </si>
  <si>
    <t>4101-05</t>
  </si>
  <si>
    <t>Ajudante de Tratorista</t>
  </si>
  <si>
    <t>Posto de Trabalho: 2ª à 6ª início às 08:00 - (com intervalo para refeição)</t>
  </si>
  <si>
    <t>J</t>
  </si>
  <si>
    <t>TOTAL (M²)</t>
  </si>
  <si>
    <r>
      <t>OBJETO</t>
    </r>
    <r>
      <rPr>
        <sz val="11"/>
        <rFont val="Arial Narrow"/>
        <family val="2"/>
      </rPr>
      <t xml:space="preserve">: </t>
    </r>
    <r>
      <rPr>
        <b/>
        <sz val="11"/>
        <rFont val="Arial Narrow"/>
        <family val="2"/>
      </rPr>
      <t xml:space="preserve">   PRESTAÇÃO DE SERVIÇOS DE LIMPEZA E CONSERVAÇÃO NOS ENTREPOSTOS DO INTERIOR</t>
    </r>
  </si>
  <si>
    <t>áreas envidraçadas c/ expos.risco</t>
  </si>
  <si>
    <t>Limite Máximo Contratação mensal (R$)</t>
  </si>
  <si>
    <t>sanitários - Diuturno</t>
  </si>
  <si>
    <t>sanitários diuturno</t>
  </si>
  <si>
    <t>Quantidade mínima de pessoas conforme Termo de Referência</t>
  </si>
  <si>
    <t>PROCESSO Nº 125/2025</t>
  </si>
  <si>
    <t>Valor Unitário</t>
  </si>
  <si>
    <t>OBJETO: PRESTAÇÃO DE SERVIÇOS DE LIMPEZA, CONSERVAÇÃO E APOIO OPERACIONAL PARA ENTREPOSTOS DO INTERIOR</t>
  </si>
  <si>
    <t>TOTAL MENSAL POR POSTO</t>
  </si>
  <si>
    <t>Limite Máximo Contratação Mensal (R$)</t>
  </si>
  <si>
    <t>Insumos Diversos Mensal (R$)</t>
  </si>
  <si>
    <t>Ajudante de Serviços Diversos - Mensal (R$)</t>
  </si>
  <si>
    <t>Limite Máximo Contratação - Período de 12 Meses (R$)</t>
  </si>
  <si>
    <t>Ajudante de Serviços Diversos - Período de 12 Meses (R$)</t>
  </si>
  <si>
    <t>TOTAL MENSAL MÃO DE OBRA + AJUDANTE DE SERVIVOS DIVERSOS + INSUMOS DIVERSOS</t>
  </si>
  <si>
    <t>TOTAL POR 12 MESES DA MÃO DE OBRA + AJUDANTE DE SERVIÇOS DIVERSOS + INSUMOS DIVERSOS</t>
  </si>
  <si>
    <t>TOTAL MENSAL DOS INSUMOS DIVERSOS</t>
  </si>
  <si>
    <t>Insumos Diversos - Período de 12 Meses (R$)</t>
  </si>
  <si>
    <t>Limite por tipo de 
Área(R$) / Mês</t>
  </si>
  <si>
    <t>Limite por tipo de Área (R$)                12 Meses</t>
  </si>
  <si>
    <t>Limite Máximo Contratação por Tipo de Área -  Período de 12 Meses (R$)</t>
  </si>
  <si>
    <t>Quant. Mínimo conforme Termo de Referência</t>
  </si>
  <si>
    <t>Produtividade/ M²</t>
  </si>
  <si>
    <t>Subtotal (R$/M²)
( I ) x ( II )</t>
  </si>
  <si>
    <t>Produtividade ( I )
(1/M²) (1)</t>
  </si>
  <si>
    <t>Subtotal(R$/M²)
( IV )x( V )</t>
  </si>
  <si>
    <t>Área (M²) / Mês</t>
  </si>
  <si>
    <t xml:space="preserve">Preço por M² Mensal (R$/M²) </t>
  </si>
  <si>
    <t>Área (M²) /                12 Meses</t>
  </si>
  <si>
    <t>Quantidade mínimo de pessoas conforme Termo de Referência</t>
  </si>
  <si>
    <t>Limite Máximo Contratação por Tipo de Área - Período de 12 Meses (R$)</t>
  </si>
  <si>
    <t>Total do posto de Ajudante de Serviços Diversos - Período de 12 meses (R$)</t>
  </si>
  <si>
    <t>CEGUA</t>
  </si>
  <si>
    <t>CEPIR</t>
  </si>
  <si>
    <t>CESJC</t>
  </si>
  <si>
    <t>CESOR</t>
  </si>
  <si>
    <t xml:space="preserve">Facão de corte - 18 polegadas </t>
  </si>
  <si>
    <t>Lavadora e secadora de piso elétrica, tensão 127V/220V, nova, do ano e modelo ofertados, em conformidade com a proposta comercial apresentada, equipada com tanque com capacidade mínima de 50 (cinquenta) litros, bateria com autonomia mínima de 5 (cinco) horas, escova acessória e desempenho operacional igual ou superior a 7.000 m²/h (sete mil metros quadrados por hora).</t>
  </si>
  <si>
    <t>Trator com potência mínima de 80hp, com até 10 anos de uso, em conformidade com a proposta comercial, ano e modelo ofertado, em bom estado de conservação, com os seguintes implementos novos: carreta de 2 rodas com capacidade mínima de 3 (três) toneladas e roçadeira, com concha frontal (sem lâmina)</t>
  </si>
  <si>
    <t>Trator com potência mínima de 80hp, com até 10 anos de uso, em conformidade com a proposta comercial, ano e modelo ofertado, em bom estado de conservação, com os seguintes implementos novos: carreta, roçadeira e carreta tanque agrícola (pipa), capacidade mínima de 5.000 (cinco mil) litros, para água, com bomba abastecedora, com bomba/mangueira de 6 (seis) metros e esguicho regulável, canhão monitor 360º (trezentos e sessenta graus), bico regulável, com plataforma para operador</t>
  </si>
  <si>
    <t>Mini carregadeira com potência mínima de 60hp, com até 5 (cinco) anos de uso, em conformidade com a proposta comercial, ano e modelo ofertado, em bom estado de conservação, com os seguintes implementos novos: caçamba dumper com capacidade mínima de 1.500 (mil e quinhentos) kg, vassoura recolhedora e concha frontal (sem lâmina)</t>
  </si>
  <si>
    <t>MÁQUINAS E EQUIPAMENTOS (Limpeza e Conservação)</t>
  </si>
  <si>
    <t>MÁQUINAS E EQUIPAMENTOS (Jardinagem)</t>
  </si>
  <si>
    <t>C.5</t>
  </si>
  <si>
    <t>2025/2026</t>
  </si>
  <si>
    <t>Ano do acordo, convenção ou dissídio coletivo:</t>
  </si>
  <si>
    <t>2025 / 2026</t>
  </si>
  <si>
    <t>PROCESSO Nº 125/2025 (Lote 02)</t>
  </si>
  <si>
    <t>PROCESSO Nº 125/2025 (LOTE 02)</t>
  </si>
  <si>
    <t>LOTE 02</t>
  </si>
  <si>
    <t>GUARATINGUETÁ/SP</t>
  </si>
  <si>
    <t>PROCESSO Nº 125/2025 - LOTE 2</t>
  </si>
  <si>
    <t>Posto de Trabalho: 2ª a 6ª início às 06:00 / Sábado (4h) início às 08:00 - (com intervalo para refeição)</t>
  </si>
  <si>
    <t>PIRACICABA/SP</t>
  </si>
  <si>
    <t>PROCESSO Nº 125/2025 - LOTE 02</t>
  </si>
  <si>
    <t>Posto de trabalho: 2ª à 6ª início às 07:00 (com intervalo para refeição)</t>
  </si>
  <si>
    <t>Posto de Trabalho: 2ª, 4ª e 6ª às 02:00hs - 3ª e 5ª às 06:00hs / Sábado (4h) às 07:00hs - (com intervalo para refeição)</t>
  </si>
  <si>
    <t>DIUTURNO</t>
  </si>
  <si>
    <t>Posto de trabalho: 2ª a 6ª feira - início as 08h00 e Sábado – 4 h - início as 07h00 (com intervalo para refeição)</t>
  </si>
  <si>
    <t>Agente de Higienização - Líder</t>
  </si>
  <si>
    <t>São José dos Campos/SP</t>
  </si>
  <si>
    <t>Agente de Higienização - Diuturno</t>
  </si>
  <si>
    <t>SÃO JOSÉ DOS CAMPOS/SP</t>
  </si>
  <si>
    <t>CONSIDERAR LIMPEZA EXTERNA SEMANALMENTE</t>
  </si>
  <si>
    <t>Posto de trabalho: 2ª a 6ª feira e Sábado – 4 h (diversos turnos conforme edital) - com intervalo para refeição</t>
  </si>
  <si>
    <t>Posto de trabalho: 2ª, 4ª e 6ª feira início as 04h00, 3ª e 5ª início as 08h00 e Sábado (4h) - início as 06h00 (1 func. Masculino e 1 feminino) Sábado – 4h – início as 12h00 (1 func. masculino) - (com intervalo para refeição)</t>
  </si>
  <si>
    <t>Posto de trabalho: 2ª a 6ª feira - início as 07h00 (com intervalo para refeição)</t>
  </si>
  <si>
    <t>Encarregado de Limpeza</t>
  </si>
  <si>
    <t>Posto de trabalho: 2ª a 6ª feira com ínício às 08:00hs e Sábado(4h) com início às 12hs (com intervalo para refeição)</t>
  </si>
  <si>
    <t>SOROCABA/SP</t>
  </si>
  <si>
    <t>Sorocaba/SP</t>
  </si>
  <si>
    <t>Agente de Higienização (Diversos)</t>
  </si>
  <si>
    <t xml:space="preserve">Agente de Higienização (Diuturno) </t>
  </si>
  <si>
    <t>ENTREPOSTO DE GUARATINGUETÁ/SP</t>
  </si>
  <si>
    <t>ENTREPOSTO DE PIRACICABA/SP</t>
  </si>
  <si>
    <t>ENTREPOSTO DE SÃO JOSÉ DOS CAMPOS/SP</t>
  </si>
  <si>
    <t>ENTREPOSTO DE SOROCABA/SP</t>
  </si>
  <si>
    <t>TOTAL GERAL - LOTE 02</t>
  </si>
  <si>
    <t>TOTAL AGENTE DE HIGIENIZAÇÃO - LOTE 02</t>
  </si>
  <si>
    <t>TOTAL JARDINEIRO - LOTE 02</t>
  </si>
  <si>
    <t>TOTAL TRATORISTA - LOTE 02</t>
  </si>
  <si>
    <t>TOTAL AJUDANTE DE TRATORISTA - LOTE 02</t>
  </si>
  <si>
    <t>TOTAL AJUDANTE DE SERVIÇOS DIVERSOS - LOTE 02</t>
  </si>
  <si>
    <t>TOTAL ENCARREGADO - LOTE 02</t>
  </si>
  <si>
    <t>TOTAL AGENTE DE HIGIENIZAÇÃO LÍDER - LOTE 02</t>
  </si>
  <si>
    <t>TOTAL GERAL ANUAL - LOTE 02</t>
  </si>
  <si>
    <t>TOTAL MENSAL MÃO DE OBRA + INSUMOS DIVERSOS</t>
  </si>
  <si>
    <t>TOTAL POR 12 MESES DA MÃO DE OBRA + INSUMOS DIVERSOS</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</si>
  <si>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</si>
  <si>
    <t>QUADRO RESUMO GERAL - PROPOSTA LICITANTE</t>
  </si>
  <si>
    <t>QUADRO RESUMO LICITANTE - CÁLCULO VALOR M²</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</si>
</sst>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0.0000000"/>
    <numFmt numFmtId="173" formatCode="_([$€]* #,##0.00_);_([$€]* \(#,##0.00\);_([$€]* &quot;-&quot;??_);_(@_)"/>
    <numFmt numFmtId="174" formatCode="&quot;R$&quot;\ #,##0.00"/>
    <numFmt numFmtId="175" formatCode="_(* #,##0_);_(* \(#,##0\);_(* \-??_);_(@_)"/>
    <numFmt numFmtId="176" formatCode="_(* #,##0.000000000_);_(* \(#,##0.000000000\);_(* \-??_);_(@_)"/>
    <numFmt numFmtId="177" formatCode="0.000000000"/>
  </numFmts>
  <fonts count="56"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b/>
      <u/>
      <sz val="11"/>
      <name val="Arial Narrow"/>
      <family val="2"/>
    </font>
    <font>
      <b/>
      <sz val="8"/>
      <name val="Arial Narrow"/>
      <family val="2"/>
    </font>
    <font>
      <b/>
      <sz val="10"/>
      <name val="Arial"/>
      <family val="2"/>
    </font>
    <font>
      <b/>
      <i/>
      <u/>
      <sz val="10"/>
      <name val="Arial"/>
      <family val="2"/>
    </font>
    <font>
      <b/>
      <sz val="14"/>
      <name val="Arial"/>
      <family val="2"/>
    </font>
    <font>
      <sz val="8"/>
      <name val="Arial Narrow"/>
      <family val="2"/>
    </font>
    <font>
      <sz val="11"/>
      <color indexed="9"/>
      <name val="Arial Narrow"/>
      <family val="2"/>
    </font>
    <font>
      <strike/>
      <sz val="10"/>
      <name val="Arial Narrow"/>
      <family val="2"/>
    </font>
    <font>
      <b/>
      <sz val="12"/>
      <name val="Arial"/>
      <family val="2"/>
    </font>
    <font>
      <b/>
      <i/>
      <sz val="11"/>
      <name val="Arial Narrow"/>
      <family val="2"/>
    </font>
    <font>
      <sz val="12"/>
      <name val="Arial"/>
      <family val="2"/>
    </font>
    <font>
      <b/>
      <u/>
      <sz val="12"/>
      <name val="Arial"/>
      <family val="2"/>
    </font>
    <font>
      <b/>
      <i/>
      <sz val="12"/>
      <name val="Arial"/>
      <family val="2"/>
    </font>
    <font>
      <b/>
      <sz val="10"/>
      <color theme="1"/>
      <name val="Arial Narrow"/>
      <family val="2"/>
    </font>
    <font>
      <u/>
      <sz val="11"/>
      <name val="Arial Narrow"/>
      <family val="2"/>
    </font>
    <font>
      <strike/>
      <sz val="11"/>
      <name val="Arial Narrow"/>
      <family val="2"/>
    </font>
    <font>
      <b/>
      <strike/>
      <sz val="11"/>
      <name val="Arial Narrow"/>
      <family val="2"/>
    </font>
    <font>
      <b/>
      <strike/>
      <sz val="11"/>
      <name val="Calibri Light"/>
      <family val="2"/>
    </font>
    <font>
      <strike/>
      <sz val="11"/>
      <name val="Calibri Light"/>
      <family val="2"/>
    </font>
    <font>
      <strike/>
      <sz val="10"/>
      <name val="Calibri Light"/>
      <family val="2"/>
    </font>
    <font>
      <b/>
      <u/>
      <sz val="12"/>
      <color theme="9"/>
      <name val="Arial"/>
      <family val="2"/>
    </font>
    <font>
      <u/>
      <sz val="12"/>
      <name val="Arial"/>
      <family val="2"/>
    </font>
  </fonts>
  <fills count="73">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8" tint="0.59999389629810485"/>
        <bgColor indexed="64"/>
      </patternFill>
    </fill>
    <fill>
      <patternFill patternType="solid">
        <fgColor theme="4" tint="0.79998168889431442"/>
        <bgColor indexed="64"/>
      </patternFill>
    </fill>
    <fill>
      <patternFill patternType="solid">
        <fgColor indexed="9"/>
        <bgColor indexed="26"/>
      </patternFill>
    </fill>
    <fill>
      <patternFill patternType="solid">
        <fgColor indexed="27"/>
        <bgColor indexed="41"/>
      </patternFill>
    </fill>
    <fill>
      <patternFill patternType="solid">
        <fgColor rgb="FFD9E1F2"/>
        <bgColor rgb="FF000000"/>
      </patternFill>
    </fill>
    <fill>
      <patternFill patternType="solid">
        <fgColor theme="4" tint="0.79998168889431442"/>
        <bgColor indexed="31"/>
      </patternFill>
    </fill>
    <fill>
      <patternFill patternType="solid">
        <fgColor theme="4" tint="0.79998168889431442"/>
        <bgColor indexed="26"/>
      </patternFill>
    </fill>
    <fill>
      <patternFill patternType="solid">
        <fgColor theme="2" tint="-9.9978637043366805E-2"/>
        <bgColor indexed="31"/>
      </patternFill>
    </fill>
    <fill>
      <patternFill patternType="solid">
        <fgColor theme="2"/>
        <bgColor indexed="64"/>
      </patternFill>
    </fill>
    <fill>
      <patternFill patternType="solid">
        <fgColor rgb="FFFFFF00"/>
        <bgColor indexed="64"/>
      </patternFill>
    </fill>
    <fill>
      <patternFill patternType="solid">
        <fgColor rgb="FFC9FFFF"/>
        <bgColor indexed="26"/>
      </patternFill>
    </fill>
    <fill>
      <patternFill patternType="solid">
        <fgColor theme="7" tint="0.39997558519241921"/>
        <bgColor indexed="64"/>
      </patternFill>
    </fill>
    <fill>
      <patternFill patternType="solid">
        <fgColor theme="4" tint="0.59999389629810485"/>
        <bgColor indexed="41"/>
      </patternFill>
    </fill>
    <fill>
      <patternFill patternType="solid">
        <fgColor rgb="FFB4C6E7"/>
        <bgColor indexed="64"/>
      </patternFill>
    </fill>
    <fill>
      <patternFill patternType="solid">
        <fgColor rgb="FF8EA9DB"/>
        <bgColor indexed="64"/>
      </patternFill>
    </fill>
    <fill>
      <patternFill patternType="solid">
        <fgColor theme="9" tint="0.59999389629810485"/>
        <bgColor indexed="64"/>
      </patternFill>
    </fill>
    <fill>
      <patternFill patternType="solid">
        <fgColor theme="9" tint="0.59999389629810485"/>
        <bgColor indexed="41"/>
      </patternFill>
    </fill>
    <fill>
      <patternFill patternType="solid">
        <fgColor rgb="FFA9D08E"/>
        <bgColor indexed="64"/>
      </patternFill>
    </fill>
    <fill>
      <patternFill patternType="solid">
        <fgColor rgb="FFC9FFFF"/>
        <bgColor indexed="41"/>
      </patternFill>
    </fill>
    <fill>
      <patternFill patternType="solid">
        <fgColor rgb="FF8EA9DB"/>
        <bgColor indexed="41"/>
      </patternFill>
    </fill>
    <fill>
      <patternFill patternType="solid">
        <fgColor rgb="FFD9E1F2"/>
        <bgColor indexed="64"/>
      </patternFill>
    </fill>
    <fill>
      <patternFill patternType="solid">
        <fgColor rgb="FFFFC000"/>
        <bgColor indexed="64"/>
      </patternFill>
    </fill>
    <fill>
      <patternFill patternType="solid">
        <fgColor rgb="FFBDD7EE"/>
        <bgColor indexed="64"/>
      </patternFill>
    </fill>
    <fill>
      <patternFill patternType="solid">
        <fgColor theme="9" tint="0.79998168889431442"/>
        <bgColor indexed="64"/>
      </patternFill>
    </fill>
    <fill>
      <patternFill patternType="solid">
        <fgColor rgb="FFFFC000"/>
        <bgColor indexed="41"/>
      </patternFill>
    </fill>
    <fill>
      <patternFill patternType="solid">
        <fgColor rgb="FFA9D08E"/>
        <bgColor indexed="41"/>
      </patternFill>
    </fill>
    <fill>
      <patternFill patternType="solid">
        <fgColor rgb="FFFFC000"/>
        <bgColor indexed="26"/>
      </patternFill>
    </fill>
    <fill>
      <patternFill patternType="solid">
        <fgColor rgb="FFCCFFFF"/>
        <bgColor indexed="41"/>
      </patternFill>
    </fill>
    <fill>
      <patternFill patternType="solid">
        <fgColor rgb="FFCCFFFF"/>
        <bgColor indexed="26"/>
      </patternFill>
    </fill>
    <fill>
      <patternFill patternType="solid">
        <fgColor rgb="FFA9D08E"/>
        <bgColor indexed="26"/>
      </patternFill>
    </fill>
    <fill>
      <patternFill patternType="solid">
        <fgColor rgb="FF8EA9DB"/>
        <bgColor indexed="26"/>
      </patternFill>
    </fill>
    <fill>
      <patternFill patternType="solid">
        <fgColor rgb="FFDDEBF7"/>
        <bgColor indexed="31"/>
      </patternFill>
    </fill>
    <fill>
      <patternFill patternType="solid">
        <fgColor rgb="FFDDEBF7"/>
        <bgColor indexed="64"/>
      </patternFill>
    </fill>
  </fills>
  <borders count="36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bottom style="thin">
        <color auto="1"/>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bottom style="medium">
        <color auto="1"/>
      </bottom>
      <diagonal/>
    </border>
    <border>
      <left style="medium">
        <color indexed="64"/>
      </left>
      <right style="thin">
        <color auto="1"/>
      </right>
      <top/>
      <bottom style="thin">
        <color indexed="64"/>
      </bottom>
      <diagonal/>
    </border>
    <border>
      <left style="thin">
        <color auto="1"/>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auto="1"/>
      </top>
      <bottom style="thin">
        <color auto="1"/>
      </bottom>
      <diagonal/>
    </border>
    <border>
      <left style="thin">
        <color indexed="64"/>
      </left>
      <right style="medium">
        <color indexed="64"/>
      </right>
      <top style="thin">
        <color auto="1"/>
      </top>
      <bottom style="thin">
        <color auto="1"/>
      </bottom>
      <diagonal/>
    </border>
    <border>
      <left style="medium">
        <color auto="1"/>
      </left>
      <right/>
      <top style="thin">
        <color auto="1"/>
      </top>
      <bottom style="thin">
        <color auto="1"/>
      </bottom>
      <diagonal/>
    </border>
    <border>
      <left style="medium">
        <color indexed="64"/>
      </left>
      <right style="medium">
        <color indexed="8"/>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medium">
        <color indexed="64"/>
      </right>
      <top/>
      <bottom style="medium">
        <color indexed="64"/>
      </bottom>
      <diagonal/>
    </border>
    <border>
      <left style="medium">
        <color indexed="64"/>
      </left>
      <right/>
      <top/>
      <bottom style="thin">
        <color auto="1"/>
      </bottom>
      <diagonal/>
    </border>
    <border>
      <left style="medium">
        <color indexed="64"/>
      </left>
      <right/>
      <top style="medium">
        <color auto="1"/>
      </top>
      <bottom style="thin">
        <color auto="1"/>
      </bottom>
      <diagonal/>
    </border>
    <border>
      <left/>
      <right/>
      <top style="medium">
        <color auto="1"/>
      </top>
      <bottom style="thin">
        <color auto="1"/>
      </bottom>
      <diagonal/>
    </border>
    <border>
      <left/>
      <right style="medium">
        <color indexed="64"/>
      </right>
      <top style="medium">
        <color auto="1"/>
      </top>
      <bottom style="thin">
        <color auto="1"/>
      </bottom>
      <diagonal/>
    </border>
    <border>
      <left style="thin">
        <color indexed="64"/>
      </left>
      <right/>
      <top/>
      <bottom/>
      <diagonal/>
    </border>
    <border>
      <left style="thin">
        <color auto="1"/>
      </left>
      <right style="thin">
        <color auto="1"/>
      </right>
      <top/>
      <bottom/>
      <diagonal/>
    </border>
    <border>
      <left style="thin">
        <color auto="1"/>
      </left>
      <right style="medium">
        <color indexed="64"/>
      </right>
      <top/>
      <bottom/>
      <diagonal/>
    </border>
    <border>
      <left style="thin">
        <color indexed="8"/>
      </left>
      <right style="medium">
        <color indexed="64"/>
      </right>
      <top/>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auto="1"/>
      </top>
      <bottom style="medium">
        <color indexed="64"/>
      </bottom>
      <diagonal/>
    </border>
    <border>
      <left style="medium">
        <color indexed="64"/>
      </left>
      <right/>
      <top style="thin">
        <color indexed="64"/>
      </top>
      <bottom style="medium">
        <color indexed="64"/>
      </bottom>
      <diagonal/>
    </border>
    <border>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8"/>
      </right>
      <top/>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auto="1"/>
      </left>
      <right style="thin">
        <color auto="1"/>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8"/>
      </left>
      <right style="medium">
        <color indexed="8"/>
      </right>
      <top/>
      <bottom/>
      <diagonal/>
    </border>
    <border>
      <left style="medium">
        <color indexed="8"/>
      </left>
      <right style="medium">
        <color indexed="64"/>
      </right>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medium">
        <color indexed="8"/>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auto="1"/>
      </left>
      <right/>
      <top style="medium">
        <color indexed="64"/>
      </top>
      <bottom style="thin">
        <color auto="1"/>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medium">
        <color indexed="64"/>
      </left>
      <right/>
      <top style="medium">
        <color auto="1"/>
      </top>
      <bottom style="medium">
        <color indexed="64"/>
      </bottom>
      <diagonal/>
    </border>
    <border>
      <left/>
      <right style="thin">
        <color auto="1"/>
      </right>
      <top style="thin">
        <color auto="1"/>
      </top>
      <bottom style="medium">
        <color indexed="64"/>
      </bottom>
      <diagonal/>
    </border>
    <border>
      <left/>
      <right/>
      <top style="thin">
        <color indexed="64"/>
      </top>
      <bottom style="medium">
        <color indexed="64"/>
      </bottom>
      <diagonal/>
    </border>
    <border>
      <left style="medium">
        <color auto="1"/>
      </left>
      <right style="thin">
        <color auto="1"/>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style="medium">
        <color auto="1"/>
      </top>
      <bottom/>
      <diagonal/>
    </border>
    <border>
      <left/>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thin">
        <color indexed="8"/>
      </left>
      <right style="thin">
        <color indexed="8"/>
      </right>
      <top style="thin">
        <color indexed="8"/>
      </top>
      <bottom style="medium">
        <color indexed="8"/>
      </bottom>
      <diagonal/>
    </border>
    <border>
      <left/>
      <right style="medium">
        <color indexed="64"/>
      </right>
      <top style="medium">
        <color auto="1"/>
      </top>
      <bottom/>
      <diagonal/>
    </border>
    <border>
      <left/>
      <right style="medium">
        <color indexed="64"/>
      </right>
      <top/>
      <bottom style="medium">
        <color indexed="64"/>
      </bottom>
      <diagonal/>
    </border>
    <border>
      <left style="medium">
        <color indexed="64"/>
      </left>
      <right/>
      <top/>
      <bottom/>
      <diagonal/>
    </border>
    <border>
      <left/>
      <right style="medium">
        <color indexed="8"/>
      </right>
      <top style="thin">
        <color indexed="64"/>
      </top>
      <bottom style="medium">
        <color indexed="64"/>
      </bottom>
      <diagonal/>
    </border>
    <border>
      <left style="thin">
        <color indexed="8"/>
      </left>
      <right style="medium">
        <color indexed="8"/>
      </right>
      <top style="thin">
        <color indexed="8"/>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style="thin">
        <color indexed="64"/>
      </right>
      <top style="thin">
        <color indexed="8"/>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medium">
        <color indexed="64"/>
      </left>
      <right/>
      <top style="medium">
        <color auto="1"/>
      </top>
      <bottom/>
      <diagonal/>
    </border>
    <border>
      <left style="thin">
        <color indexed="8"/>
      </left>
      <right style="thin">
        <color indexed="8"/>
      </right>
      <top/>
      <bottom/>
      <diagonal/>
    </border>
    <border>
      <left style="medium">
        <color indexed="64"/>
      </left>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auto="1"/>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8"/>
      </top>
      <bottom style="thin">
        <color indexed="64"/>
      </bottom>
      <diagonal/>
    </border>
    <border>
      <left/>
      <right/>
      <top style="thin">
        <color indexed="8"/>
      </top>
      <bottom style="thin">
        <color indexed="64"/>
      </bottom>
      <diagonal/>
    </border>
    <border>
      <left style="thin">
        <color indexed="64"/>
      </left>
      <right/>
      <top style="thin">
        <color indexed="64"/>
      </top>
      <bottom/>
      <diagonal/>
    </border>
    <border>
      <left style="thin">
        <color indexed="8"/>
      </left>
      <right style="medium">
        <color indexed="64"/>
      </right>
      <top style="thin">
        <color indexed="8"/>
      </top>
      <bottom style="thin">
        <color indexed="64"/>
      </bottom>
      <diagonal/>
    </border>
    <border>
      <left style="thin">
        <color indexed="8"/>
      </left>
      <right style="medium">
        <color indexed="64"/>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auto="1"/>
      </bottom>
      <diagonal/>
    </border>
    <border>
      <left/>
      <right style="medium">
        <color auto="1"/>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top style="medium">
        <color indexed="64"/>
      </top>
      <bottom style="medium">
        <color indexed="64"/>
      </bottom>
      <diagonal/>
    </border>
    <border>
      <left style="thin">
        <color auto="1"/>
      </left>
      <right style="medium">
        <color auto="1"/>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8"/>
      </right>
      <top style="thin">
        <color indexed="8"/>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8"/>
      </left>
      <right/>
      <top/>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style="thin">
        <color indexed="8"/>
      </top>
      <bottom style="medium">
        <color indexed="8"/>
      </bottom>
      <diagonal/>
    </border>
    <border>
      <left style="thin">
        <color indexed="64"/>
      </left>
      <right style="medium">
        <color indexed="64"/>
      </right>
      <top style="thin">
        <color indexed="64"/>
      </top>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8"/>
      </left>
      <right style="medium">
        <color indexed="8"/>
      </right>
      <top style="thin">
        <color indexed="8"/>
      </top>
      <bottom style="thin">
        <color indexed="64"/>
      </bottom>
      <diagonal/>
    </border>
    <border>
      <left/>
      <right/>
      <top style="thin">
        <color indexed="64"/>
      </top>
      <bottom style="medium">
        <color indexed="64"/>
      </bottom>
      <diagonal/>
    </border>
    <border>
      <left/>
      <right style="thin">
        <color auto="1"/>
      </right>
      <top style="thin">
        <color auto="1"/>
      </top>
      <bottom style="medium">
        <color indexed="64"/>
      </bottom>
      <diagonal/>
    </border>
    <border>
      <left/>
      <right style="medium">
        <color indexed="8"/>
      </right>
      <top style="thin">
        <color indexed="64"/>
      </top>
      <bottom style="medium">
        <color indexed="64"/>
      </bottom>
      <diagonal/>
    </border>
    <border>
      <left style="thin">
        <color indexed="8"/>
      </left>
      <right style="medium">
        <color indexed="8"/>
      </right>
      <top style="medium">
        <color indexed="8"/>
      </top>
      <bottom style="thin">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thin">
        <color indexed="64"/>
      </left>
      <right style="medium">
        <color indexed="64"/>
      </right>
      <top style="thin">
        <color indexed="8"/>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auto="1"/>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auto="1"/>
      </top>
      <bottom style="medium">
        <color indexed="64"/>
      </bottom>
      <diagonal/>
    </border>
    <border>
      <left/>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auto="1"/>
      </top>
      <bottom style="medium">
        <color indexed="64"/>
      </bottom>
      <diagonal/>
    </border>
    <border>
      <left style="medium">
        <color indexed="64"/>
      </left>
      <right/>
      <top style="medium">
        <color auto="1"/>
      </top>
      <bottom/>
      <diagonal/>
    </border>
    <border>
      <left/>
      <right/>
      <top style="medium">
        <color auto="1"/>
      </top>
      <bottom/>
      <diagonal/>
    </border>
    <border>
      <left/>
      <right style="medium">
        <color indexed="64"/>
      </right>
      <top style="medium">
        <color auto="1"/>
      </top>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medium">
        <color indexed="64"/>
      </bottom>
      <diagonal/>
    </border>
    <border>
      <left/>
      <right style="thin">
        <color auto="1"/>
      </right>
      <top style="thin">
        <color auto="1"/>
      </top>
      <bottom style="medium">
        <color indexed="64"/>
      </bottom>
      <diagonal/>
    </border>
    <border>
      <left style="medium">
        <color auto="1"/>
      </left>
      <right/>
      <top style="thin">
        <color auto="1"/>
      </top>
      <bottom/>
      <diagonal/>
    </border>
  </borders>
  <cellStyleXfs count="66">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9" fillId="4" borderId="0" applyNumberFormat="0" applyBorder="0" applyAlignment="0" applyProtection="0"/>
    <xf numFmtId="0" fontId="10" fillId="16" borderId="1" applyNumberFormat="0" applyAlignment="0" applyProtection="0"/>
    <xf numFmtId="0" fontId="11" fillId="17" borderId="2" applyNumberFormat="0" applyAlignment="0" applyProtection="0"/>
    <xf numFmtId="0" fontId="12" fillId="0" borderId="3" applyNumberFormat="0" applyFill="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21" borderId="0" applyNumberFormat="0" applyBorder="0" applyAlignment="0" applyProtection="0"/>
    <xf numFmtId="0" fontId="13" fillId="7" borderId="1" applyNumberFormat="0" applyAlignment="0" applyProtection="0"/>
    <xf numFmtId="0" fontId="14" fillId="3" borderId="0" applyNumberFormat="0" applyBorder="0" applyAlignment="0" applyProtection="0"/>
    <xf numFmtId="164" fontId="7" fillId="0" borderId="0" applyFont="0" applyFill="0" applyBorder="0" applyAlignment="0" applyProtection="0"/>
    <xf numFmtId="0" fontId="15" fillId="22" borderId="0" applyNumberFormat="0" applyBorder="0" applyAlignment="0" applyProtection="0"/>
    <xf numFmtId="0" fontId="24" fillId="0" borderId="0"/>
    <xf numFmtId="0" fontId="24" fillId="23" borderId="4" applyNumberFormat="0" applyAlignment="0" applyProtection="0"/>
    <xf numFmtId="9" fontId="24" fillId="0" borderId="0" applyFont="0" applyFill="0" applyBorder="0" applyAlignment="0" applyProtection="0"/>
    <xf numFmtId="0" fontId="16" fillId="16" borderId="5" applyNumberFormat="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23" fillId="0" borderId="0" applyNumberFormat="0" applyFill="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9" fillId="0" borderId="9" applyNumberFormat="0" applyFill="0" applyAlignment="0" applyProtection="0"/>
    <xf numFmtId="167" fontId="24" fillId="0" borderId="0" applyFill="0" applyBorder="0" applyAlignment="0" applyProtection="0"/>
    <xf numFmtId="0" fontId="24" fillId="0" borderId="0"/>
    <xf numFmtId="165" fontId="24" fillId="0" borderId="0" applyFont="0" applyFill="0" applyBorder="0" applyAlignment="0" applyProtection="0"/>
    <xf numFmtId="0" fontId="27" fillId="0" borderId="0"/>
    <xf numFmtId="166" fontId="27" fillId="0" borderId="0"/>
    <xf numFmtId="9" fontId="24" fillId="0" borderId="0" applyFont="0" applyFill="0" applyBorder="0" applyAlignment="0" applyProtection="0"/>
    <xf numFmtId="0" fontId="6" fillId="0" borderId="0"/>
    <xf numFmtId="0" fontId="5" fillId="0" borderId="0"/>
    <xf numFmtId="166" fontId="27" fillId="0" borderId="0"/>
    <xf numFmtId="0" fontId="4" fillId="0" borderId="0"/>
    <xf numFmtId="43" fontId="4" fillId="0" borderId="0" applyFont="0" applyFill="0" applyBorder="0" applyAlignment="0" applyProtection="0"/>
    <xf numFmtId="173" fontId="24" fillId="0" borderId="0"/>
    <xf numFmtId="164" fontId="24" fillId="0" borderId="0" applyFont="0" applyFill="0" applyBorder="0" applyAlignment="0" applyProtection="0"/>
    <xf numFmtId="0" fontId="3" fillId="0" borderId="0"/>
    <xf numFmtId="43" fontId="24" fillId="0" borderId="0" applyFont="0" applyFill="0" applyBorder="0" applyAlignment="0" applyProtection="0"/>
    <xf numFmtId="173" fontId="24" fillId="0" borderId="0"/>
    <xf numFmtId="0" fontId="2" fillId="0" borderId="0"/>
    <xf numFmtId="0" fontId="1" fillId="0" borderId="0"/>
    <xf numFmtId="44" fontId="24" fillId="0" borderId="0" applyFont="0" applyFill="0" applyBorder="0" applyAlignment="0" applyProtection="0"/>
    <xf numFmtId="166" fontId="24" fillId="0" borderId="0" applyFill="0" applyBorder="0" applyAlignment="0" applyProtection="0"/>
  </cellStyleXfs>
  <cellXfs count="1307">
    <xf numFmtId="0" fontId="0" fillId="0" borderId="0" xfId="0"/>
    <xf numFmtId="0" fontId="29" fillId="0" borderId="0" xfId="49" applyFont="1"/>
    <xf numFmtId="0" fontId="28" fillId="0" borderId="12" xfId="49" applyFont="1" applyBorder="1" applyAlignment="1" applyProtection="1">
      <alignment horizontal="center" vertical="center"/>
    </xf>
    <xf numFmtId="0" fontId="29" fillId="0" borderId="0" xfId="49" applyFont="1" applyAlignment="1" applyProtection="1">
      <alignment vertical="center"/>
    </xf>
    <xf numFmtId="169" fontId="29" fillId="0" borderId="0" xfId="49" applyNumberFormat="1" applyFont="1" applyAlignment="1" applyProtection="1">
      <alignment vertical="center"/>
    </xf>
    <xf numFmtId="0" fontId="29" fillId="0" borderId="27" xfId="49" applyFont="1" applyBorder="1" applyAlignment="1">
      <alignment horizontal="center"/>
    </xf>
    <xf numFmtId="0" fontId="29" fillId="0" borderId="0" xfId="49" applyFont="1" applyBorder="1" applyAlignment="1" applyProtection="1">
      <alignment vertical="center"/>
    </xf>
    <xf numFmtId="0" fontId="29" fillId="0" borderId="0" xfId="49" applyFont="1" applyBorder="1"/>
    <xf numFmtId="170" fontId="29" fillId="0" borderId="23" xfId="50" applyNumberFormat="1" applyFont="1" applyBorder="1" applyAlignment="1" applyProtection="1">
      <alignment vertical="center"/>
    </xf>
    <xf numFmtId="170" fontId="29" fillId="0" borderId="18" xfId="50" applyNumberFormat="1" applyFont="1" applyBorder="1" applyAlignment="1" applyProtection="1">
      <alignment vertical="center"/>
    </xf>
    <xf numFmtId="10" fontId="28" fillId="32" borderId="19" xfId="49" applyNumberFormat="1" applyFont="1" applyFill="1" applyBorder="1" applyAlignment="1" applyProtection="1">
      <alignment horizontal="center" vertical="center"/>
    </xf>
    <xf numFmtId="0" fontId="29" fillId="0" borderId="28" xfId="49" applyFont="1" applyBorder="1" applyAlignment="1">
      <alignment horizontal="center"/>
    </xf>
    <xf numFmtId="170" fontId="29" fillId="0" borderId="22" xfId="50" applyNumberFormat="1" applyFont="1" applyBorder="1" applyAlignment="1" applyProtection="1">
      <alignment vertical="center"/>
    </xf>
    <xf numFmtId="44" fontId="29" fillId="0" borderId="29" xfId="49" applyNumberFormat="1" applyFont="1" applyBorder="1" applyAlignment="1" applyProtection="1">
      <alignment horizontal="center" vertical="center"/>
    </xf>
    <xf numFmtId="166" fontId="29" fillId="0" borderId="30" xfId="50" applyFont="1" applyBorder="1" applyAlignment="1" applyProtection="1">
      <alignment vertical="center"/>
    </xf>
    <xf numFmtId="0" fontId="28" fillId="33" borderId="20" xfId="49" applyFont="1" applyFill="1" applyBorder="1" applyAlignment="1" applyProtection="1">
      <alignment horizontal="center" vertical="center"/>
    </xf>
    <xf numFmtId="10" fontId="28" fillId="33" borderId="29" xfId="49" applyNumberFormat="1" applyFont="1" applyFill="1" applyBorder="1" applyAlignment="1" applyProtection="1">
      <alignment horizontal="center" vertical="center"/>
    </xf>
    <xf numFmtId="170" fontId="28" fillId="33" borderId="30" xfId="49" applyNumberFormat="1" applyFont="1" applyFill="1" applyBorder="1" applyAlignment="1" applyProtection="1">
      <alignment horizontal="right" vertical="center"/>
    </xf>
    <xf numFmtId="10" fontId="28" fillId="33" borderId="11" xfId="49" applyNumberFormat="1" applyFont="1" applyFill="1" applyBorder="1" applyAlignment="1" applyProtection="1">
      <alignment horizontal="center" vertical="center"/>
    </xf>
    <xf numFmtId="0" fontId="28" fillId="31" borderId="21" xfId="49" applyFont="1" applyFill="1" applyBorder="1" applyAlignment="1" applyProtection="1">
      <alignment horizontal="left" vertical="center"/>
    </xf>
    <xf numFmtId="0" fontId="28" fillId="31" borderId="22" xfId="49" applyFont="1" applyFill="1" applyBorder="1" applyAlignment="1" applyProtection="1">
      <alignment horizontal="left" vertical="center"/>
    </xf>
    <xf numFmtId="0" fontId="29" fillId="34" borderId="0" xfId="49" applyFont="1" applyFill="1" applyAlignment="1" applyProtection="1">
      <alignment vertical="center"/>
    </xf>
    <xf numFmtId="170" fontId="29" fillId="0" borderId="30" xfId="50" applyNumberFormat="1" applyFont="1" applyBorder="1" applyAlignment="1" applyProtection="1">
      <alignment vertical="center"/>
    </xf>
    <xf numFmtId="10" fontId="28" fillId="32" borderId="25" xfId="49" applyNumberFormat="1" applyFont="1" applyFill="1" applyBorder="1" applyAlignment="1" applyProtection="1">
      <alignment horizontal="center" vertical="center"/>
    </xf>
    <xf numFmtId="1" fontId="29" fillId="0" borderId="29" xfId="49" applyNumberFormat="1" applyFont="1" applyBorder="1" applyAlignment="1" applyProtection="1">
      <alignment horizontal="center" vertical="center"/>
    </xf>
    <xf numFmtId="0" fontId="29" fillId="25" borderId="20" xfId="49" applyFont="1" applyFill="1" applyBorder="1"/>
    <xf numFmtId="0" fontId="28" fillId="32" borderId="21" xfId="49" applyFont="1" applyFill="1" applyBorder="1" applyAlignment="1" applyProtection="1">
      <alignment vertical="center"/>
    </xf>
    <xf numFmtId="0" fontId="28" fillId="32" borderId="29" xfId="49" applyFont="1" applyFill="1" applyBorder="1" applyAlignment="1" applyProtection="1">
      <alignment vertical="center"/>
    </xf>
    <xf numFmtId="0" fontId="28" fillId="32" borderId="0" xfId="49" applyFont="1" applyFill="1" applyBorder="1" applyAlignment="1" applyProtection="1">
      <alignment vertical="center"/>
    </xf>
    <xf numFmtId="1" fontId="30" fillId="32" borderId="11" xfId="49" applyNumberFormat="1" applyFont="1" applyFill="1" applyBorder="1" applyAlignment="1" applyProtection="1">
      <alignment vertical="center"/>
    </xf>
    <xf numFmtId="3" fontId="28" fillId="36" borderId="11" xfId="35" applyNumberFormat="1" applyFont="1" applyFill="1" applyBorder="1" applyAlignment="1" applyProtection="1">
      <alignment vertical="center"/>
    </xf>
    <xf numFmtId="0" fontId="29" fillId="38" borderId="0" xfId="49" applyFont="1" applyFill="1" applyAlignment="1" applyProtection="1">
      <alignment vertical="center"/>
    </xf>
    <xf numFmtId="0" fontId="31" fillId="0" borderId="0" xfId="49" applyFont="1"/>
    <xf numFmtId="0" fontId="33" fillId="0" borderId="0" xfId="0" applyFont="1" applyAlignment="1" applyProtection="1">
      <alignment vertical="center"/>
    </xf>
    <xf numFmtId="0" fontId="29" fillId="0" borderId="0" xfId="0" applyFont="1"/>
    <xf numFmtId="169" fontId="29" fillId="0" borderId="0" xfId="0" applyNumberFormat="1" applyFont="1" applyAlignment="1" applyProtection="1">
      <alignment vertical="center"/>
    </xf>
    <xf numFmtId="0" fontId="29" fillId="0" borderId="27" xfId="0" applyFont="1" applyBorder="1" applyAlignment="1">
      <alignment horizontal="center"/>
    </xf>
    <xf numFmtId="10" fontId="28" fillId="0" borderId="17" xfId="51" applyNumberFormat="1" applyFont="1" applyBorder="1" applyAlignment="1" applyProtection="1">
      <alignment horizontal="center" vertical="center"/>
    </xf>
    <xf numFmtId="0" fontId="29" fillId="0" borderId="19" xfId="0" applyFont="1" applyBorder="1" applyAlignment="1" applyProtection="1">
      <alignment vertical="center"/>
    </xf>
    <xf numFmtId="0" fontId="29" fillId="0" borderId="17" xfId="0" applyFont="1" applyBorder="1" applyAlignment="1" applyProtection="1">
      <alignment vertical="center"/>
    </xf>
    <xf numFmtId="10" fontId="29" fillId="0" borderId="16" xfId="51" applyNumberFormat="1" applyFont="1" applyBorder="1" applyAlignment="1" applyProtection="1">
      <alignment horizontal="center" vertical="center"/>
    </xf>
    <xf numFmtId="10" fontId="28" fillId="32" borderId="19" xfId="0" applyNumberFormat="1" applyFont="1" applyFill="1" applyBorder="1" applyAlignment="1" applyProtection="1">
      <alignment horizontal="center" vertical="center"/>
    </xf>
    <xf numFmtId="0" fontId="29" fillId="0" borderId="28" xfId="0" applyFont="1" applyBorder="1" applyAlignment="1">
      <alignment horizontal="center"/>
    </xf>
    <xf numFmtId="10" fontId="29" fillId="0" borderId="26" xfId="51" applyNumberFormat="1" applyFont="1" applyBorder="1" applyAlignment="1" applyProtection="1">
      <alignment horizontal="center" vertical="center"/>
    </xf>
    <xf numFmtId="44" fontId="29" fillId="0" borderId="11" xfId="0" applyNumberFormat="1" applyFont="1" applyBorder="1" applyAlignment="1" applyProtection="1">
      <alignment horizontal="center" vertical="center"/>
    </xf>
    <xf numFmtId="0" fontId="29" fillId="34" borderId="0" xfId="0" applyFont="1" applyFill="1" applyAlignment="1" applyProtection="1">
      <alignment vertical="center"/>
    </xf>
    <xf numFmtId="1" fontId="29" fillId="0" borderId="11" xfId="0" applyNumberFormat="1" applyFont="1" applyBorder="1" applyAlignment="1" applyProtection="1">
      <alignment horizontal="center" vertical="center"/>
    </xf>
    <xf numFmtId="3" fontId="29" fillId="0" borderId="11" xfId="51" applyNumberFormat="1" applyFont="1" applyBorder="1" applyAlignment="1" applyProtection="1">
      <alignment horizontal="center" vertical="center"/>
    </xf>
    <xf numFmtId="0" fontId="29" fillId="24" borderId="0" xfId="47" applyFont="1" applyFill="1" applyAlignment="1">
      <alignment vertical="center"/>
    </xf>
    <xf numFmtId="0" fontId="29" fillId="24" borderId="0" xfId="33" applyFont="1" applyFill="1" applyAlignment="1">
      <alignment vertical="center"/>
    </xf>
    <xf numFmtId="172" fontId="33" fillId="0" borderId="0" xfId="0" applyNumberFormat="1" applyFont="1" applyAlignment="1" applyProtection="1">
      <alignment vertical="center"/>
    </xf>
    <xf numFmtId="0" fontId="37" fillId="0" borderId="0" xfId="49" applyFont="1" applyFill="1" applyBorder="1" applyAlignment="1">
      <alignment vertical="center"/>
    </xf>
    <xf numFmtId="0" fontId="36" fillId="0" borderId="0" xfId="0" applyFont="1" applyFill="1" applyBorder="1" applyAlignment="1">
      <alignment horizontal="center" wrapText="1"/>
    </xf>
    <xf numFmtId="43" fontId="29" fillId="0" borderId="0" xfId="49" applyNumberFormat="1" applyFont="1" applyBorder="1" applyAlignment="1" applyProtection="1">
      <alignment vertical="center"/>
    </xf>
    <xf numFmtId="0" fontId="29" fillId="0" borderId="26" xfId="0" applyNumberFormat="1" applyFont="1" applyBorder="1" applyAlignment="1" applyProtection="1">
      <alignment horizontal="center" vertical="center"/>
    </xf>
    <xf numFmtId="166" fontId="29" fillId="0" borderId="0" xfId="0" applyNumberFormat="1" applyFont="1" applyAlignment="1" applyProtection="1">
      <alignment vertical="center"/>
    </xf>
    <xf numFmtId="0" fontId="33" fillId="42" borderId="0" xfId="0" applyFont="1" applyFill="1"/>
    <xf numFmtId="0" fontId="33" fillId="0" borderId="0" xfId="0" applyFont="1" applyBorder="1"/>
    <xf numFmtId="0" fontId="33" fillId="42" borderId="0" xfId="0" applyFont="1" applyFill="1" applyBorder="1"/>
    <xf numFmtId="166" fontId="33" fillId="0" borderId="33" xfId="65" applyFont="1" applyFill="1" applyBorder="1" applyAlignment="1" applyProtection="1"/>
    <xf numFmtId="0" fontId="33" fillId="42" borderId="0" xfId="0" applyFont="1" applyFill="1" applyProtection="1"/>
    <xf numFmtId="166" fontId="33" fillId="0" borderId="33" xfId="0" applyNumberFormat="1" applyFont="1" applyBorder="1"/>
    <xf numFmtId="0" fontId="33" fillId="0" borderId="32" xfId="0" applyFont="1" applyBorder="1"/>
    <xf numFmtId="39" fontId="33" fillId="42" borderId="0" xfId="0" applyNumberFormat="1" applyFont="1" applyFill="1" applyProtection="1"/>
    <xf numFmtId="0" fontId="32" fillId="16" borderId="33" xfId="0" applyFont="1" applyFill="1" applyBorder="1"/>
    <xf numFmtId="4" fontId="33" fillId="42" borderId="0" xfId="0" applyNumberFormat="1" applyFont="1" applyFill="1" applyProtection="1"/>
    <xf numFmtId="0" fontId="33" fillId="0" borderId="0" xfId="0" applyFont="1" applyFill="1" applyProtection="1"/>
    <xf numFmtId="174" fontId="32" fillId="0" borderId="33" xfId="0" applyNumberFormat="1" applyFont="1" applyFill="1" applyBorder="1" applyAlignment="1">
      <alignment horizontal="right"/>
    </xf>
    <xf numFmtId="166" fontId="32" fillId="0" borderId="33" xfId="0" applyNumberFormat="1" applyFont="1" applyFill="1" applyBorder="1" applyAlignment="1">
      <alignment horizontal="center"/>
    </xf>
    <xf numFmtId="0" fontId="40" fillId="42" borderId="0" xfId="0" applyFont="1" applyFill="1" applyProtection="1"/>
    <xf numFmtId="0" fontId="33" fillId="42" borderId="0" xfId="0" applyFont="1" applyFill="1" applyBorder="1" applyProtection="1"/>
    <xf numFmtId="0" fontId="33" fillId="42" borderId="35" xfId="0" applyFont="1" applyFill="1" applyBorder="1"/>
    <xf numFmtId="0" fontId="33" fillId="42" borderId="35" xfId="0" applyFont="1" applyFill="1" applyBorder="1" applyProtection="1"/>
    <xf numFmtId="0" fontId="33" fillId="0" borderId="35" xfId="0" applyFont="1" applyBorder="1"/>
    <xf numFmtId="0" fontId="33" fillId="16" borderId="37" xfId="0" applyFont="1" applyFill="1" applyBorder="1" applyAlignment="1">
      <alignment vertical="center"/>
    </xf>
    <xf numFmtId="0" fontId="24" fillId="0" borderId="0" xfId="0" applyFont="1" applyFill="1" applyBorder="1"/>
    <xf numFmtId="0" fontId="24" fillId="0" borderId="0" xfId="0" applyFont="1" applyFill="1" applyBorder="1" applyAlignment="1">
      <alignment horizontal="left" vertical="center" wrapText="1"/>
    </xf>
    <xf numFmtId="2" fontId="33" fillId="0" borderId="32" xfId="0" applyNumberFormat="1" applyFont="1" applyBorder="1"/>
    <xf numFmtId="10" fontId="29" fillId="0" borderId="24" xfId="35" applyNumberFormat="1" applyFont="1" applyBorder="1" applyAlignment="1" applyProtection="1">
      <alignment horizontal="center" vertical="center"/>
    </xf>
    <xf numFmtId="0" fontId="28" fillId="31" borderId="16" xfId="49" applyFont="1" applyFill="1" applyBorder="1" applyAlignment="1" applyProtection="1">
      <alignment horizontal="center" vertical="center"/>
    </xf>
    <xf numFmtId="166" fontId="33" fillId="0" borderId="0" xfId="65" applyFont="1" applyFill="1" applyBorder="1" applyAlignment="1" applyProtection="1"/>
    <xf numFmtId="0" fontId="28" fillId="0" borderId="0" xfId="0" applyFont="1" applyFill="1" applyBorder="1" applyAlignment="1">
      <alignment horizontal="center" vertical="center" wrapText="1"/>
    </xf>
    <xf numFmtId="0" fontId="28" fillId="43" borderId="48" xfId="0" applyFont="1" applyFill="1" applyBorder="1" applyAlignment="1">
      <alignment horizontal="center" vertical="center" wrapText="1"/>
    </xf>
    <xf numFmtId="0" fontId="44" fillId="0" borderId="35" xfId="0" applyFont="1" applyFill="1" applyBorder="1" applyAlignment="1">
      <alignment horizontal="justify" vertical="center" wrapText="1"/>
    </xf>
    <xf numFmtId="0" fontId="42" fillId="0" borderId="49" xfId="0" applyFont="1" applyFill="1" applyBorder="1" applyAlignment="1">
      <alignment horizontal="center" vertical="center" wrapText="1"/>
    </xf>
    <xf numFmtId="0" fontId="44" fillId="0" borderId="30" xfId="0" applyFont="1" applyFill="1" applyBorder="1" applyAlignment="1">
      <alignment horizontal="left" vertical="center" wrapText="1"/>
    </xf>
    <xf numFmtId="0" fontId="42" fillId="0" borderId="41" xfId="0" applyFont="1" applyFill="1" applyBorder="1" applyAlignment="1">
      <alignment horizontal="justify" vertical="center" wrapText="1"/>
    </xf>
    <xf numFmtId="0" fontId="44" fillId="0" borderId="42" xfId="0" applyFont="1" applyFill="1" applyBorder="1" applyAlignment="1">
      <alignment horizontal="left" vertical="center" wrapText="1"/>
    </xf>
    <xf numFmtId="0" fontId="42" fillId="48" borderId="41" xfId="0" applyFont="1" applyFill="1" applyBorder="1" applyAlignment="1">
      <alignment horizontal="justify" vertical="center" wrapText="1"/>
    </xf>
    <xf numFmtId="0" fontId="44" fillId="48" borderId="42" xfId="0" applyFont="1" applyFill="1" applyBorder="1" applyAlignment="1">
      <alignment horizontal="left" vertical="center" wrapText="1"/>
    </xf>
    <xf numFmtId="0" fontId="42" fillId="0" borderId="41" xfId="0" applyFont="1" applyFill="1" applyBorder="1" applyAlignment="1">
      <alignment horizontal="center" vertical="center" wrapText="1"/>
    </xf>
    <xf numFmtId="0" fontId="44" fillId="0" borderId="42" xfId="0" applyFont="1" applyFill="1" applyBorder="1" applyAlignment="1">
      <alignment horizontal="justify" vertical="center" wrapText="1"/>
    </xf>
    <xf numFmtId="0" fontId="44" fillId="0" borderId="50" xfId="0" applyFont="1" applyFill="1" applyBorder="1" applyAlignment="1">
      <alignment horizontal="justify" vertical="center" wrapText="1"/>
    </xf>
    <xf numFmtId="0" fontId="46" fillId="0" borderId="50" xfId="49" applyFont="1" applyFill="1" applyBorder="1" applyAlignment="1">
      <alignment horizontal="justify" vertical="center"/>
    </xf>
    <xf numFmtId="0" fontId="44" fillId="0" borderId="50" xfId="0" applyFont="1" applyFill="1" applyBorder="1" applyAlignment="1">
      <alignment horizontal="left" vertical="center" wrapText="1"/>
    </xf>
    <xf numFmtId="0" fontId="44" fillId="48" borderId="50" xfId="0" applyFont="1" applyFill="1" applyBorder="1" applyAlignment="1">
      <alignment horizontal="justify" vertical="center" wrapText="1"/>
    </xf>
    <xf numFmtId="0" fontId="44" fillId="0" borderId="30" xfId="0" applyFont="1" applyFill="1" applyBorder="1" applyAlignment="1">
      <alignment horizontal="justify" vertical="center" wrapText="1"/>
    </xf>
    <xf numFmtId="0" fontId="42" fillId="48" borderId="50" xfId="0" applyFont="1" applyFill="1" applyBorder="1" applyAlignment="1">
      <alignment horizontal="justify" vertical="center" wrapText="1"/>
    </xf>
    <xf numFmtId="0" fontId="28" fillId="31" borderId="45" xfId="49" applyFont="1" applyFill="1" applyBorder="1" applyAlignment="1" applyProtection="1">
      <alignment horizontal="center" vertical="center"/>
    </xf>
    <xf numFmtId="166" fontId="28" fillId="31" borderId="46" xfId="50" applyFont="1" applyFill="1" applyBorder="1" applyAlignment="1" applyProtection="1">
      <alignment horizontal="center" vertical="center"/>
    </xf>
    <xf numFmtId="0" fontId="29" fillId="0" borderId="34" xfId="0" applyFont="1" applyBorder="1" applyAlignment="1">
      <alignment horizontal="center"/>
    </xf>
    <xf numFmtId="0" fontId="29" fillId="0" borderId="58" xfId="0" applyFont="1" applyBorder="1" applyAlignment="1" applyProtection="1">
      <alignment horizontal="center" vertical="center"/>
    </xf>
    <xf numFmtId="166" fontId="29" fillId="0" borderId="59" xfId="50" applyFont="1" applyBorder="1" applyAlignment="1" applyProtection="1">
      <alignment vertical="center"/>
    </xf>
    <xf numFmtId="10" fontId="29" fillId="0" borderId="58" xfId="0" applyNumberFormat="1" applyFont="1" applyBorder="1" applyAlignment="1" applyProtection="1">
      <alignment horizontal="center" vertical="center"/>
    </xf>
    <xf numFmtId="166" fontId="28" fillId="32" borderId="46" xfId="50" applyFont="1" applyFill="1" applyBorder="1" applyAlignment="1" applyProtection="1">
      <alignment vertical="center"/>
    </xf>
    <xf numFmtId="10" fontId="29" fillId="0" borderId="58" xfId="51" applyNumberFormat="1" applyFont="1" applyBorder="1" applyAlignment="1" applyProtection="1">
      <alignment horizontal="center" vertical="center"/>
    </xf>
    <xf numFmtId="170" fontId="29" fillId="0" borderId="35" xfId="50" applyNumberFormat="1" applyFont="1" applyBorder="1" applyAlignment="1" applyProtection="1">
      <alignment vertical="center"/>
    </xf>
    <xf numFmtId="0" fontId="29" fillId="0" borderId="41" xfId="0" applyFont="1" applyBorder="1" applyAlignment="1">
      <alignment horizontal="center"/>
    </xf>
    <xf numFmtId="10" fontId="29" fillId="0" borderId="36" xfId="51" applyNumberFormat="1" applyFont="1" applyBorder="1" applyAlignment="1" applyProtection="1">
      <alignment horizontal="center" vertical="center"/>
    </xf>
    <xf numFmtId="0" fontId="29" fillId="0" borderId="34" xfId="0" applyFont="1" applyBorder="1"/>
    <xf numFmtId="0" fontId="29" fillId="0" borderId="45" xfId="0" applyFont="1" applyBorder="1" applyAlignment="1" applyProtection="1">
      <alignment horizontal="center" vertical="center"/>
    </xf>
    <xf numFmtId="170" fontId="28" fillId="32" borderId="46" xfId="0" applyNumberFormat="1" applyFont="1" applyFill="1" applyBorder="1" applyAlignment="1" applyProtection="1">
      <alignment horizontal="right" vertical="center"/>
    </xf>
    <xf numFmtId="170" fontId="29" fillId="0" borderId="59" xfId="50" applyNumberFormat="1" applyFont="1" applyBorder="1" applyAlignment="1" applyProtection="1">
      <alignment vertical="center"/>
    </xf>
    <xf numFmtId="44" fontId="29" fillId="0" borderId="58" xfId="49" applyNumberFormat="1" applyFont="1" applyFill="1" applyBorder="1" applyAlignment="1" applyProtection="1">
      <alignment horizontal="center" vertical="center"/>
    </xf>
    <xf numFmtId="0" fontId="29" fillId="0" borderId="58" xfId="0" applyNumberFormat="1" applyFont="1" applyBorder="1" applyAlignment="1" applyProtection="1">
      <alignment horizontal="center" vertical="center"/>
    </xf>
    <xf numFmtId="0" fontId="29" fillId="0" borderId="58" xfId="0" applyNumberFormat="1" applyFont="1" applyFill="1" applyBorder="1" applyAlignment="1" applyProtection="1">
      <alignment horizontal="center" vertical="center"/>
    </xf>
    <xf numFmtId="166" fontId="29" fillId="0" borderId="35" xfId="50" applyFont="1" applyFill="1" applyBorder="1" applyAlignment="1" applyProtection="1">
      <alignment vertical="center"/>
    </xf>
    <xf numFmtId="166" fontId="29" fillId="0" borderId="35" xfId="50" applyFont="1" applyBorder="1" applyAlignment="1" applyProtection="1">
      <alignment vertical="center"/>
    </xf>
    <xf numFmtId="44" fontId="29" fillId="0" borderId="36" xfId="0" applyNumberFormat="1" applyFont="1" applyFill="1" applyBorder="1" applyAlignment="1" applyProtection="1">
      <alignment horizontal="center" vertical="center"/>
    </xf>
    <xf numFmtId="0" fontId="28" fillId="33" borderId="34" xfId="49" applyFont="1" applyFill="1" applyBorder="1" applyAlignment="1" applyProtection="1">
      <alignment horizontal="center" vertical="center"/>
    </xf>
    <xf numFmtId="170" fontId="28" fillId="33" borderId="59" xfId="49" applyNumberFormat="1" applyFont="1" applyFill="1" applyBorder="1" applyAlignment="1" applyProtection="1">
      <alignment horizontal="right" vertical="center"/>
    </xf>
    <xf numFmtId="10" fontId="29" fillId="0" borderId="58" xfId="35" applyNumberFormat="1" applyFont="1" applyFill="1" applyBorder="1" applyAlignment="1" applyProtection="1">
      <alignment horizontal="center" vertical="center"/>
    </xf>
    <xf numFmtId="10" fontId="29" fillId="0" borderId="36" xfId="35" applyNumberFormat="1" applyFont="1" applyFill="1" applyBorder="1" applyAlignment="1" applyProtection="1">
      <alignment horizontal="center" vertical="center"/>
    </xf>
    <xf numFmtId="170" fontId="29" fillId="0" borderId="42" xfId="50" applyNumberFormat="1" applyFont="1" applyBorder="1" applyAlignment="1" applyProtection="1">
      <alignment vertical="center"/>
    </xf>
    <xf numFmtId="170" fontId="28" fillId="32" borderId="42" xfId="49" applyNumberFormat="1" applyFont="1" applyFill="1" applyBorder="1" applyAlignment="1" applyProtection="1">
      <alignment horizontal="right" vertical="center"/>
    </xf>
    <xf numFmtId="170" fontId="28" fillId="32" borderId="46" xfId="49" applyNumberFormat="1" applyFont="1" applyFill="1" applyBorder="1" applyAlignment="1" applyProtection="1">
      <alignment horizontal="right" vertical="center"/>
    </xf>
    <xf numFmtId="10" fontId="29" fillId="0" borderId="58" xfId="35" applyNumberFormat="1" applyFont="1" applyBorder="1" applyAlignment="1" applyProtection="1">
      <alignment horizontal="center" vertical="center"/>
    </xf>
    <xf numFmtId="10" fontId="28" fillId="0" borderId="36" xfId="35" applyNumberFormat="1" applyFont="1" applyFill="1" applyBorder="1" applyAlignment="1" applyProtection="1">
      <alignment horizontal="center" vertical="center"/>
    </xf>
    <xf numFmtId="170" fontId="28" fillId="0" borderId="42" xfId="50" applyNumberFormat="1" applyFont="1" applyBorder="1" applyAlignment="1" applyProtection="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9" fillId="24" borderId="0" xfId="0" applyFont="1" applyFill="1" applyAlignment="1">
      <alignment vertical="center"/>
    </xf>
    <xf numFmtId="0" fontId="39" fillId="24" borderId="0" xfId="47" applyFont="1" applyFill="1" applyAlignment="1">
      <alignment vertical="center"/>
    </xf>
    <xf numFmtId="0" fontId="39" fillId="24" borderId="0" xfId="33" applyFont="1" applyFill="1" applyAlignment="1">
      <alignment vertical="center"/>
    </xf>
    <xf numFmtId="0" fontId="39" fillId="0" borderId="0" xfId="33" applyFont="1" applyFill="1" applyAlignment="1">
      <alignment vertical="center"/>
    </xf>
    <xf numFmtId="1" fontId="32" fillId="0" borderId="0" xfId="0" applyNumberFormat="1" applyFont="1" applyFill="1" applyBorder="1" applyAlignment="1">
      <alignment horizontal="right" vertical="center"/>
    </xf>
    <xf numFmtId="1" fontId="32" fillId="0" borderId="0" xfId="0" applyNumberFormat="1" applyFont="1" applyFill="1" applyBorder="1" applyAlignment="1">
      <alignment horizontal="center" vertical="center"/>
    </xf>
    <xf numFmtId="1" fontId="32" fillId="0" borderId="0" xfId="0" applyNumberFormat="1" applyFont="1" applyFill="1" applyBorder="1" applyAlignment="1">
      <alignment vertical="center"/>
    </xf>
    <xf numFmtId="4" fontId="32" fillId="0" borderId="35" xfId="0" applyNumberFormat="1" applyFont="1" applyBorder="1"/>
    <xf numFmtId="0" fontId="33" fillId="0" borderId="0" xfId="0" applyFont="1" applyFill="1" applyBorder="1"/>
    <xf numFmtId="0" fontId="32" fillId="0" borderId="0" xfId="0" applyFont="1" applyFill="1" applyBorder="1" applyAlignment="1">
      <alignment horizontal="right" vertical="center"/>
    </xf>
    <xf numFmtId="4" fontId="33" fillId="0" borderId="0" xfId="0" applyNumberFormat="1" applyFont="1" applyFill="1" applyProtection="1"/>
    <xf numFmtId="4" fontId="32" fillId="0" borderId="35" xfId="0" applyNumberFormat="1" applyFont="1" applyFill="1" applyBorder="1"/>
    <xf numFmtId="0" fontId="32" fillId="16" borderId="61" xfId="0" applyFont="1" applyFill="1" applyBorder="1" applyAlignment="1">
      <alignment vertical="center"/>
    </xf>
    <xf numFmtId="174" fontId="33" fillId="0" borderId="33" xfId="0" applyNumberFormat="1" applyFont="1" applyFill="1" applyBorder="1" applyAlignment="1">
      <alignment horizontal="right"/>
    </xf>
    <xf numFmtId="166" fontId="33" fillId="0" borderId="33" xfId="0" applyNumberFormat="1" applyFont="1" applyFill="1" applyBorder="1" applyAlignment="1">
      <alignment horizontal="center"/>
    </xf>
    <xf numFmtId="1" fontId="32" fillId="41" borderId="64" xfId="0" applyNumberFormat="1" applyFont="1" applyFill="1" applyBorder="1" applyAlignment="1">
      <alignment horizontal="center" vertical="center"/>
    </xf>
    <xf numFmtId="0" fontId="28" fillId="43" borderId="76" xfId="0" applyFont="1" applyFill="1" applyBorder="1" applyAlignment="1">
      <alignment horizontal="center" vertical="center" wrapText="1"/>
    </xf>
    <xf numFmtId="0" fontId="28" fillId="47" borderId="61" xfId="0" applyFont="1" applyFill="1" applyBorder="1" applyAlignment="1">
      <alignment vertical="center"/>
    </xf>
    <xf numFmtId="0" fontId="33" fillId="42" borderId="33" xfId="0" applyFont="1" applyFill="1" applyBorder="1"/>
    <xf numFmtId="43" fontId="33" fillId="42" borderId="33" xfId="0" applyNumberFormat="1" applyFont="1" applyFill="1" applyBorder="1"/>
    <xf numFmtId="0" fontId="28" fillId="47" borderId="77" xfId="0" applyFont="1" applyFill="1" applyBorder="1" applyAlignment="1">
      <alignment vertical="center"/>
    </xf>
    <xf numFmtId="166" fontId="33" fillId="0" borderId="78" xfId="65" applyFont="1" applyFill="1" applyBorder="1" applyAlignment="1" applyProtection="1"/>
    <xf numFmtId="0" fontId="33" fillId="42" borderId="78" xfId="0" applyFont="1" applyFill="1" applyBorder="1"/>
    <xf numFmtId="43" fontId="33" fillId="42" borderId="78" xfId="0" applyNumberFormat="1" applyFont="1" applyFill="1" applyBorder="1"/>
    <xf numFmtId="166" fontId="33" fillId="42" borderId="0" xfId="0" applyNumberFormat="1" applyFont="1" applyFill="1"/>
    <xf numFmtId="0" fontId="29" fillId="0" borderId="67" xfId="0" applyFont="1" applyFill="1" applyBorder="1" applyAlignment="1">
      <alignment horizontal="center" vertical="center"/>
    </xf>
    <xf numFmtId="0" fontId="29" fillId="0" borderId="69" xfId="0" applyFont="1" applyFill="1" applyBorder="1"/>
    <xf numFmtId="0" fontId="35" fillId="40" borderId="66" xfId="47" applyFont="1" applyFill="1" applyBorder="1" applyAlignment="1">
      <alignment horizontal="center" vertical="center" wrapText="1"/>
    </xf>
    <xf numFmtId="166" fontId="33" fillId="42" borderId="0" xfId="0" applyNumberFormat="1" applyFont="1" applyFill="1" applyProtection="1"/>
    <xf numFmtId="174" fontId="33" fillId="42" borderId="0" xfId="0" applyNumberFormat="1" applyFont="1" applyFill="1" applyProtection="1"/>
    <xf numFmtId="43" fontId="33" fillId="42" borderId="0" xfId="0" applyNumberFormat="1" applyFont="1" applyFill="1" applyProtection="1"/>
    <xf numFmtId="1" fontId="32" fillId="46" borderId="64" xfId="0" applyNumberFormat="1" applyFont="1" applyFill="1" applyBorder="1" applyAlignment="1">
      <alignment horizontal="center" vertical="center"/>
    </xf>
    <xf numFmtId="0" fontId="29" fillId="0" borderId="99" xfId="0" applyFont="1" applyFill="1" applyBorder="1"/>
    <xf numFmtId="1" fontId="33" fillId="0" borderId="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29" fillId="0" borderId="101" xfId="0" applyFont="1" applyBorder="1" applyAlignment="1">
      <alignment horizontal="center"/>
    </xf>
    <xf numFmtId="0" fontId="32" fillId="16" borderId="105" xfId="0" applyFont="1" applyFill="1" applyBorder="1" applyAlignment="1">
      <alignment vertical="center"/>
    </xf>
    <xf numFmtId="0" fontId="32" fillId="0" borderId="84" xfId="0" applyFont="1" applyBorder="1" applyAlignment="1">
      <alignment vertical="center"/>
    </xf>
    <xf numFmtId="0" fontId="28" fillId="43" borderId="112" xfId="0" applyFont="1" applyFill="1" applyBorder="1" applyAlignment="1">
      <alignment horizontal="center" vertical="center" wrapText="1"/>
    </xf>
    <xf numFmtId="0" fontId="28" fillId="43" borderId="113" xfId="0" applyFont="1" applyFill="1" applyBorder="1" applyAlignment="1">
      <alignment horizontal="center" vertical="center" wrapText="1"/>
    </xf>
    <xf numFmtId="0" fontId="28" fillId="47" borderId="105" xfId="0" applyFont="1" applyFill="1" applyBorder="1" applyAlignment="1">
      <alignment vertical="center"/>
    </xf>
    <xf numFmtId="0" fontId="33" fillId="42" borderId="103" xfId="0" applyFont="1" applyFill="1" applyBorder="1"/>
    <xf numFmtId="43" fontId="33" fillId="42" borderId="103" xfId="0" applyNumberFormat="1" applyFont="1" applyFill="1" applyBorder="1"/>
    <xf numFmtId="166" fontId="33" fillId="0" borderId="103" xfId="65" applyFont="1" applyFill="1" applyBorder="1" applyAlignment="1" applyProtection="1"/>
    <xf numFmtId="0" fontId="28" fillId="47" borderId="114" xfId="0" applyFont="1" applyFill="1" applyBorder="1" applyAlignment="1">
      <alignment vertical="center"/>
    </xf>
    <xf numFmtId="166" fontId="33" fillId="0" borderId="115" xfId="65" applyFont="1" applyFill="1" applyBorder="1" applyAlignment="1" applyProtection="1"/>
    <xf numFmtId="0" fontId="33" fillId="42" borderId="115" xfId="0" applyFont="1" applyFill="1" applyBorder="1"/>
    <xf numFmtId="1" fontId="32" fillId="46" borderId="96" xfId="0" applyNumberFormat="1" applyFont="1" applyFill="1" applyBorder="1" applyAlignment="1">
      <alignment horizontal="center" vertical="center"/>
    </xf>
    <xf numFmtId="1" fontId="32" fillId="46" borderId="111" xfId="0" applyNumberFormat="1" applyFont="1" applyFill="1" applyBorder="1" applyAlignment="1">
      <alignment horizontal="center" vertical="center"/>
    </xf>
    <xf numFmtId="0" fontId="33" fillId="42" borderId="102" xfId="0" applyFont="1" applyFill="1" applyBorder="1"/>
    <xf numFmtId="0" fontId="28" fillId="43" borderId="116" xfId="0" applyFont="1" applyFill="1" applyBorder="1" applyAlignment="1">
      <alignment horizontal="center" vertical="center" wrapText="1"/>
    </xf>
    <xf numFmtId="0" fontId="33" fillId="16" borderId="61" xfId="0" applyFont="1" applyFill="1" applyBorder="1" applyAlignment="1">
      <alignment vertical="center"/>
    </xf>
    <xf numFmtId="166" fontId="33" fillId="0" borderId="62" xfId="65" applyFont="1" applyFill="1" applyBorder="1" applyAlignment="1" applyProtection="1"/>
    <xf numFmtId="0" fontId="28" fillId="43" borderId="117" xfId="0" applyFont="1" applyFill="1" applyBorder="1" applyAlignment="1">
      <alignment horizontal="center" vertical="center"/>
    </xf>
    <xf numFmtId="0" fontId="28" fillId="43" borderId="118" xfId="0" applyFont="1" applyFill="1" applyBorder="1" applyAlignment="1">
      <alignment horizontal="center" vertical="center" wrapText="1"/>
    </xf>
    <xf numFmtId="0" fontId="32" fillId="16" borderId="119" xfId="0" applyFont="1" applyFill="1" applyBorder="1" applyAlignment="1">
      <alignment vertical="center"/>
    </xf>
    <xf numFmtId="0" fontId="32" fillId="16" borderId="120" xfId="0" applyFont="1" applyFill="1" applyBorder="1"/>
    <xf numFmtId="0" fontId="32" fillId="16" borderId="121" xfId="0" applyFont="1" applyFill="1" applyBorder="1"/>
    <xf numFmtId="0" fontId="33" fillId="43" borderId="122" xfId="0" applyFont="1" applyFill="1" applyBorder="1"/>
    <xf numFmtId="2" fontId="32" fillId="0" borderId="125" xfId="0" applyNumberFormat="1" applyFont="1" applyBorder="1"/>
    <xf numFmtId="0" fontId="33" fillId="0" borderId="103" xfId="0" applyNumberFormat="1" applyFont="1" applyBorder="1"/>
    <xf numFmtId="166" fontId="33" fillId="0" borderId="103" xfId="0" applyNumberFormat="1" applyFont="1" applyBorder="1"/>
    <xf numFmtId="0" fontId="32" fillId="0" borderId="125" xfId="0" applyFont="1" applyBorder="1"/>
    <xf numFmtId="0" fontId="33" fillId="0" borderId="102" xfId="0" applyFont="1" applyBorder="1"/>
    <xf numFmtId="0" fontId="32" fillId="16" borderId="129" xfId="0" applyFont="1" applyFill="1" applyBorder="1" applyAlignment="1">
      <alignment vertical="center"/>
    </xf>
    <xf numFmtId="0" fontId="32" fillId="16" borderId="130" xfId="0" applyFont="1" applyFill="1" applyBorder="1"/>
    <xf numFmtId="0" fontId="32" fillId="16" borderId="131" xfId="0" applyFont="1" applyFill="1" applyBorder="1"/>
    <xf numFmtId="175" fontId="33" fillId="0" borderId="132" xfId="0" applyNumberFormat="1" applyFont="1" applyBorder="1" applyAlignment="1">
      <alignment horizontal="center"/>
    </xf>
    <xf numFmtId="0" fontId="33" fillId="0" borderId="132" xfId="0" applyFont="1" applyBorder="1"/>
    <xf numFmtId="176" fontId="33" fillId="0" borderId="132" xfId="0" applyNumberFormat="1" applyFont="1" applyBorder="1"/>
    <xf numFmtId="166" fontId="33" fillId="0" borderId="132" xfId="0" applyNumberFormat="1" applyFont="1" applyBorder="1"/>
    <xf numFmtId="4" fontId="33" fillId="0" borderId="133" xfId="0" applyNumberFormat="1" applyFont="1" applyBorder="1"/>
    <xf numFmtId="0" fontId="33" fillId="43" borderId="122" xfId="0" applyFont="1" applyFill="1" applyBorder="1" applyAlignment="1">
      <alignment vertical="center"/>
    </xf>
    <xf numFmtId="0" fontId="33" fillId="43" borderId="123" xfId="0" applyFont="1" applyFill="1" applyBorder="1"/>
    <xf numFmtId="0" fontId="32" fillId="43" borderId="124" xfId="0" applyFont="1" applyFill="1" applyBorder="1" applyAlignment="1">
      <alignment horizontal="right" vertical="center"/>
    </xf>
    <xf numFmtId="4" fontId="32" fillId="0" borderId="134" xfId="0" applyNumberFormat="1" applyFont="1" applyBorder="1"/>
    <xf numFmtId="0" fontId="33" fillId="0" borderId="102" xfId="0" applyFont="1" applyFill="1" applyBorder="1"/>
    <xf numFmtId="174" fontId="32" fillId="0" borderId="103" xfId="0" applyNumberFormat="1" applyFont="1" applyFill="1" applyBorder="1"/>
    <xf numFmtId="0" fontId="34" fillId="42" borderId="102" xfId="0" applyFont="1" applyFill="1" applyBorder="1" applyAlignment="1" applyProtection="1">
      <alignment horizontal="left"/>
    </xf>
    <xf numFmtId="174" fontId="32" fillId="0" borderId="104" xfId="0" applyNumberFormat="1" applyFont="1" applyFill="1" applyBorder="1"/>
    <xf numFmtId="166" fontId="33" fillId="0" borderId="107" xfId="65" applyFont="1" applyFill="1" applyBorder="1" applyAlignment="1" applyProtection="1"/>
    <xf numFmtId="0" fontId="33" fillId="42" borderId="107" xfId="0" applyFont="1" applyFill="1" applyBorder="1"/>
    <xf numFmtId="0" fontId="35" fillId="40" borderId="64" xfId="47" applyFont="1" applyFill="1" applyBorder="1" applyAlignment="1">
      <alignment horizontal="center" vertical="center" wrapText="1"/>
    </xf>
    <xf numFmtId="0" fontId="35" fillId="40" borderId="44" xfId="47" applyFont="1" applyFill="1" applyBorder="1" applyAlignment="1">
      <alignment horizontal="center" vertical="center" wrapText="1"/>
    </xf>
    <xf numFmtId="0" fontId="29" fillId="0" borderId="135" xfId="0" applyFont="1" applyFill="1" applyBorder="1"/>
    <xf numFmtId="0" fontId="29" fillId="0" borderId="41" xfId="0" applyFont="1" applyFill="1" applyBorder="1"/>
    <xf numFmtId="0" fontId="29" fillId="0" borderId="87" xfId="0" applyFont="1" applyFill="1" applyBorder="1" applyAlignment="1">
      <alignment horizontal="center" vertical="center"/>
    </xf>
    <xf numFmtId="0" fontId="35" fillId="40" borderId="160" xfId="47" applyFont="1" applyFill="1" applyBorder="1" applyAlignment="1">
      <alignment horizontal="center" vertical="center" wrapText="1"/>
    </xf>
    <xf numFmtId="0" fontId="29" fillId="0" borderId="165" xfId="0" applyFont="1" applyFill="1" applyBorder="1" applyAlignment="1">
      <alignment horizontal="center" vertical="center"/>
    </xf>
    <xf numFmtId="0" fontId="29" fillId="0" borderId="135" xfId="0" applyFont="1" applyFill="1" applyBorder="1" applyAlignment="1">
      <alignment vertical="center" wrapText="1"/>
    </xf>
    <xf numFmtId="0" fontId="29" fillId="0" borderId="41" xfId="47" applyFont="1" applyFill="1" applyBorder="1" applyAlignment="1">
      <alignment vertical="center"/>
    </xf>
    <xf numFmtId="0" fontId="29" fillId="0" borderId="162" xfId="55" applyFont="1" applyFill="1" applyBorder="1" applyAlignment="1">
      <alignment vertical="center"/>
    </xf>
    <xf numFmtId="0" fontId="29" fillId="0" borderId="135" xfId="0" applyFont="1" applyFill="1" applyBorder="1" applyAlignment="1">
      <alignment wrapText="1"/>
    </xf>
    <xf numFmtId="44" fontId="29" fillId="0" borderId="138" xfId="50" applyNumberFormat="1" applyFont="1" applyBorder="1" applyAlignment="1">
      <alignment horizontal="center" vertical="center"/>
    </xf>
    <xf numFmtId="0" fontId="29" fillId="0" borderId="162" xfId="50" applyNumberFormat="1" applyFont="1" applyBorder="1" applyAlignment="1">
      <alignment horizontal="center" vertical="center"/>
    </xf>
    <xf numFmtId="44" fontId="29" fillId="0" borderId="173" xfId="50" applyNumberFormat="1" applyFont="1" applyBorder="1" applyAlignment="1">
      <alignment horizontal="center" vertical="center"/>
    </xf>
    <xf numFmtId="0" fontId="29" fillId="0" borderId="137" xfId="50" applyNumberFormat="1" applyFont="1" applyFill="1" applyBorder="1" applyAlignment="1">
      <alignment horizontal="center" vertical="center"/>
    </xf>
    <xf numFmtId="44" fontId="29" fillId="0" borderId="91" xfId="50" applyNumberFormat="1" applyFont="1" applyBorder="1" applyAlignment="1">
      <alignment horizontal="center" vertical="center"/>
    </xf>
    <xf numFmtId="0" fontId="29" fillId="0" borderId="41" xfId="50" applyNumberFormat="1" applyFont="1" applyBorder="1" applyAlignment="1">
      <alignment horizontal="center" vertical="center"/>
    </xf>
    <xf numFmtId="44" fontId="29" fillId="0" borderId="93" xfId="50" applyNumberFormat="1" applyFont="1" applyBorder="1" applyAlignment="1">
      <alignment horizontal="center" vertical="center"/>
    </xf>
    <xf numFmtId="0" fontId="29" fillId="0" borderId="152" xfId="50" applyNumberFormat="1" applyFont="1" applyFill="1" applyBorder="1" applyAlignment="1">
      <alignment horizontal="center" vertical="center"/>
    </xf>
    <xf numFmtId="0" fontId="29" fillId="0" borderId="101" xfId="0" applyFont="1" applyFill="1" applyBorder="1"/>
    <xf numFmtId="0" fontId="29" fillId="0" borderId="175" xfId="0" applyFont="1" applyFill="1" applyBorder="1" applyAlignment="1">
      <alignment horizontal="center" vertical="center"/>
    </xf>
    <xf numFmtId="0" fontId="28" fillId="25" borderId="158" xfId="47" applyFont="1" applyFill="1" applyBorder="1" applyAlignment="1">
      <alignment vertical="center"/>
    </xf>
    <xf numFmtId="0" fontId="28" fillId="25" borderId="158" xfId="47" applyFont="1" applyFill="1" applyBorder="1" applyAlignment="1">
      <alignment horizontal="center" vertical="center"/>
    </xf>
    <xf numFmtId="0" fontId="29" fillId="0" borderId="156" xfId="0" applyFont="1" applyFill="1" applyBorder="1"/>
    <xf numFmtId="0" fontId="29" fillId="0" borderId="169" xfId="0" applyFont="1" applyFill="1" applyBorder="1" applyAlignment="1">
      <alignment horizontal="center" vertical="center"/>
    </xf>
    <xf numFmtId="0" fontId="29" fillId="0" borderId="168" xfId="50" applyNumberFormat="1" applyFont="1" applyBorder="1" applyAlignment="1">
      <alignment horizontal="center" vertical="center"/>
    </xf>
    <xf numFmtId="44" fontId="29" fillId="0" borderId="174" xfId="50" applyNumberFormat="1" applyFont="1" applyBorder="1" applyAlignment="1">
      <alignment horizontal="center" vertical="center"/>
    </xf>
    <xf numFmtId="0" fontId="29" fillId="0" borderId="154" xfId="50" applyNumberFormat="1" applyFont="1" applyFill="1" applyBorder="1" applyAlignment="1">
      <alignment horizontal="center" vertical="center"/>
    </xf>
    <xf numFmtId="44" fontId="28" fillId="25" borderId="176" xfId="47" applyNumberFormat="1" applyFont="1" applyFill="1" applyBorder="1" applyAlignment="1">
      <alignment vertical="center"/>
    </xf>
    <xf numFmtId="44" fontId="28" fillId="25" borderId="176" xfId="48" applyNumberFormat="1" applyFont="1" applyFill="1" applyBorder="1" applyAlignment="1">
      <alignment horizontal="center" vertical="center"/>
    </xf>
    <xf numFmtId="167" fontId="29" fillId="24" borderId="164" xfId="46" applyFont="1" applyFill="1" applyBorder="1" applyAlignment="1">
      <alignment horizontal="center" vertical="center"/>
    </xf>
    <xf numFmtId="0" fontId="28" fillId="25" borderId="156" xfId="47" applyFont="1" applyFill="1" applyBorder="1" applyAlignment="1">
      <alignment horizontal="center" vertical="center"/>
    </xf>
    <xf numFmtId="0" fontId="29" fillId="0" borderId="152" xfId="46" applyNumberFormat="1" applyFont="1" applyFill="1" applyBorder="1" applyAlignment="1">
      <alignment horizontal="center" vertical="center"/>
    </xf>
    <xf numFmtId="0" fontId="29" fillId="0" borderId="137" xfId="46" applyNumberFormat="1" applyFont="1" applyFill="1" applyBorder="1" applyAlignment="1">
      <alignment horizontal="center" vertical="center"/>
    </xf>
    <xf numFmtId="0" fontId="28" fillId="25" borderId="136" xfId="33" applyFont="1" applyFill="1" applyBorder="1" applyAlignment="1">
      <alignment vertical="center"/>
    </xf>
    <xf numFmtId="0" fontId="29" fillId="0" borderId="175" xfId="46" applyNumberFormat="1" applyFont="1" applyFill="1" applyBorder="1" applyAlignment="1">
      <alignment horizontal="center" vertical="center"/>
    </xf>
    <xf numFmtId="0" fontId="29" fillId="0" borderId="169" xfId="46" applyNumberFormat="1" applyFont="1" applyFill="1" applyBorder="1" applyAlignment="1">
      <alignment horizontal="center" vertical="center"/>
    </xf>
    <xf numFmtId="0" fontId="29" fillId="0" borderId="65" xfId="46" applyNumberFormat="1" applyFont="1" applyFill="1" applyBorder="1" applyAlignment="1">
      <alignment horizontal="center" vertical="center"/>
    </xf>
    <xf numFmtId="44" fontId="29" fillId="24" borderId="93" xfId="46" applyNumberFormat="1" applyFont="1" applyFill="1" applyBorder="1" applyAlignment="1">
      <alignment vertical="center"/>
    </xf>
    <xf numFmtId="44" fontId="29" fillId="24" borderId="173" xfId="46" applyNumberFormat="1" applyFont="1" applyFill="1" applyBorder="1" applyAlignment="1">
      <alignment vertical="center"/>
    </xf>
    <xf numFmtId="44" fontId="28" fillId="25" borderId="64" xfId="47" applyNumberFormat="1" applyFont="1" applyFill="1" applyBorder="1" applyAlignment="1">
      <alignment horizontal="center" vertical="center"/>
    </xf>
    <xf numFmtId="0" fontId="29" fillId="24" borderId="41" xfId="46" applyNumberFormat="1" applyFont="1" applyFill="1" applyBorder="1" applyAlignment="1">
      <alignment horizontal="center" vertical="center"/>
    </xf>
    <xf numFmtId="0" fontId="29" fillId="24" borderId="162" xfId="46" applyNumberFormat="1" applyFont="1" applyFill="1" applyBorder="1" applyAlignment="1">
      <alignment horizontal="center" vertical="center"/>
    </xf>
    <xf numFmtId="167" fontId="28" fillId="25" borderId="68" xfId="46" applyFont="1" applyFill="1" applyBorder="1" applyAlignment="1">
      <alignment horizontal="center" vertical="center"/>
    </xf>
    <xf numFmtId="0" fontId="35" fillId="40" borderId="101" xfId="47" applyFont="1" applyFill="1" applyBorder="1" applyAlignment="1">
      <alignment horizontal="center" vertical="center" wrapText="1"/>
    </xf>
    <xf numFmtId="0" fontId="35" fillId="40" borderId="35" xfId="47" applyFont="1" applyFill="1" applyBorder="1" applyAlignment="1">
      <alignment horizontal="center" vertical="center" wrapText="1"/>
    </xf>
    <xf numFmtId="0" fontId="35" fillId="40" borderId="154" xfId="47" applyFont="1" applyFill="1" applyBorder="1" applyAlignment="1">
      <alignment horizontal="center" vertical="center" wrapText="1"/>
    </xf>
    <xf numFmtId="0" fontId="35" fillId="40" borderId="41" xfId="47" applyFont="1" applyFill="1" applyBorder="1" applyAlignment="1">
      <alignment horizontal="center" vertical="center" wrapText="1"/>
    </xf>
    <xf numFmtId="167" fontId="29" fillId="0" borderId="169" xfId="46" applyFont="1" applyFill="1" applyBorder="1" applyAlignment="1">
      <alignment horizontal="center" vertical="center"/>
    </xf>
    <xf numFmtId="9" fontId="29" fillId="24" borderId="138" xfId="46" applyNumberFormat="1" applyFont="1" applyFill="1" applyBorder="1" applyAlignment="1">
      <alignment horizontal="center" vertical="center"/>
    </xf>
    <xf numFmtId="0" fontId="28" fillId="25" borderId="71" xfId="47" applyFont="1" applyFill="1" applyBorder="1" applyAlignment="1">
      <alignment vertical="center"/>
    </xf>
    <xf numFmtId="0" fontId="29" fillId="0" borderId="99" xfId="50" applyNumberFormat="1" applyFont="1" applyFill="1" applyBorder="1" applyAlignment="1">
      <alignment horizontal="center" vertical="center"/>
    </xf>
    <xf numFmtId="44" fontId="28" fillId="25" borderId="94" xfId="47" applyNumberFormat="1" applyFont="1" applyFill="1" applyBorder="1" applyAlignment="1">
      <alignment vertical="center"/>
    </xf>
    <xf numFmtId="44" fontId="28" fillId="25" borderId="64" xfId="47" applyNumberFormat="1" applyFont="1" applyFill="1" applyBorder="1" applyAlignment="1">
      <alignment vertical="center"/>
    </xf>
    <xf numFmtId="44" fontId="28" fillId="25" borderId="64" xfId="48" applyNumberFormat="1" applyFont="1" applyFill="1" applyBorder="1" applyAlignment="1">
      <alignment horizontal="center" vertical="center"/>
    </xf>
    <xf numFmtId="0" fontId="29" fillId="0" borderId="168" xfId="47" applyFont="1" applyFill="1" applyBorder="1" applyAlignment="1">
      <alignment vertical="center"/>
    </xf>
    <xf numFmtId="1" fontId="32" fillId="46" borderId="170" xfId="0" applyNumberFormat="1" applyFont="1" applyFill="1" applyBorder="1" applyAlignment="1">
      <alignment horizontal="center" vertical="center"/>
    </xf>
    <xf numFmtId="0" fontId="28" fillId="0" borderId="150" xfId="49" applyFont="1" applyBorder="1" applyAlignment="1" applyProtection="1">
      <alignment horizontal="center" vertical="center"/>
    </xf>
    <xf numFmtId="0" fontId="28" fillId="31" borderId="162" xfId="49" applyFont="1" applyFill="1" applyBorder="1" applyAlignment="1" applyProtection="1">
      <alignment horizontal="center" vertical="center"/>
    </xf>
    <xf numFmtId="166" fontId="28" fillId="31" borderId="164" xfId="50" applyFont="1" applyFill="1" applyBorder="1" applyAlignment="1" applyProtection="1">
      <alignment horizontal="center" vertical="center"/>
    </xf>
    <xf numFmtId="0" fontId="29" fillId="0" borderId="102" xfId="0" applyFont="1" applyBorder="1" applyAlignment="1">
      <alignment horizontal="center"/>
    </xf>
    <xf numFmtId="0" fontId="29" fillId="0" borderId="175" xfId="0" applyFont="1" applyBorder="1" applyAlignment="1" applyProtection="1">
      <alignment horizontal="center" vertical="center"/>
    </xf>
    <xf numFmtId="166" fontId="29" fillId="0" borderId="157" xfId="50" applyFont="1" applyBorder="1" applyAlignment="1" applyProtection="1">
      <alignment vertical="center"/>
    </xf>
    <xf numFmtId="166" fontId="29" fillId="0" borderId="0" xfId="49" applyNumberFormat="1" applyFont="1" applyAlignment="1" applyProtection="1">
      <alignment vertical="center"/>
    </xf>
    <xf numFmtId="10" fontId="29" fillId="0" borderId="175" xfId="0" applyNumberFormat="1" applyFont="1" applyBorder="1" applyAlignment="1" applyProtection="1">
      <alignment horizontal="center" vertical="center"/>
    </xf>
    <xf numFmtId="166" fontId="28" fillId="32" borderId="164" xfId="50" applyFont="1" applyFill="1" applyBorder="1" applyAlignment="1" applyProtection="1">
      <alignment vertical="center"/>
    </xf>
    <xf numFmtId="10" fontId="29" fillId="0" borderId="175" xfId="51" applyNumberFormat="1" applyFont="1" applyBorder="1" applyAlignment="1" applyProtection="1">
      <alignment horizontal="center" vertical="center"/>
    </xf>
    <xf numFmtId="10" fontId="29" fillId="0" borderId="87" xfId="51" applyNumberFormat="1" applyFont="1" applyBorder="1" applyAlignment="1" applyProtection="1">
      <alignment horizontal="center" vertical="center"/>
    </xf>
    <xf numFmtId="170" fontId="29" fillId="0" borderId="93" xfId="50" applyNumberFormat="1" applyFont="1" applyBorder="1" applyAlignment="1" applyProtection="1">
      <alignment vertical="center"/>
    </xf>
    <xf numFmtId="0" fontId="29" fillId="0" borderId="102" xfId="0" applyFont="1" applyBorder="1"/>
    <xf numFmtId="10" fontId="28" fillId="0" borderId="136" xfId="51" applyNumberFormat="1" applyFont="1" applyBorder="1" applyAlignment="1" applyProtection="1">
      <alignment horizontal="center" vertical="center"/>
    </xf>
    <xf numFmtId="0" fontId="29" fillId="0" borderId="162" xfId="0" applyFont="1" applyBorder="1" applyAlignment="1" applyProtection="1">
      <alignment horizontal="center" vertical="center"/>
    </xf>
    <xf numFmtId="0" fontId="29" fillId="0" borderId="138" xfId="0" applyFont="1" applyBorder="1" applyAlignment="1" applyProtection="1">
      <alignment vertical="center"/>
    </xf>
    <xf numFmtId="0" fontId="29" fillId="0" borderId="136" xfId="0" applyFont="1" applyBorder="1" applyAlignment="1" applyProtection="1">
      <alignment vertical="center"/>
    </xf>
    <xf numFmtId="10" fontId="29" fillId="0" borderId="165" xfId="51" applyNumberFormat="1" applyFont="1" applyBorder="1" applyAlignment="1" applyProtection="1">
      <alignment horizontal="center" vertical="center"/>
    </xf>
    <xf numFmtId="170" fontId="29" fillId="0" borderId="173" xfId="50" applyNumberFormat="1" applyFont="1" applyBorder="1" applyAlignment="1" applyProtection="1">
      <alignment vertical="center"/>
    </xf>
    <xf numFmtId="10" fontId="28" fillId="32" borderId="138" xfId="0" applyNumberFormat="1" applyFont="1" applyFill="1" applyBorder="1" applyAlignment="1" applyProtection="1">
      <alignment horizontal="center" vertical="center"/>
    </xf>
    <xf numFmtId="170" fontId="28" fillId="32" borderId="164" xfId="0" applyNumberFormat="1" applyFont="1" applyFill="1" applyBorder="1" applyAlignment="1" applyProtection="1">
      <alignment horizontal="right" vertical="center"/>
    </xf>
    <xf numFmtId="0" fontId="29" fillId="0" borderId="168" xfId="0" applyFont="1" applyBorder="1" applyAlignment="1">
      <alignment horizontal="center"/>
    </xf>
    <xf numFmtId="10" fontId="29" fillId="0" borderId="169" xfId="51" applyNumberFormat="1" applyFont="1" applyBorder="1" applyAlignment="1" applyProtection="1">
      <alignment horizontal="center" vertical="center"/>
    </xf>
    <xf numFmtId="170" fontId="29" fillId="0" borderId="174" xfId="50" applyNumberFormat="1" applyFont="1" applyBorder="1" applyAlignment="1" applyProtection="1">
      <alignment vertical="center"/>
    </xf>
    <xf numFmtId="0" fontId="29" fillId="0" borderId="156" xfId="49" applyFont="1" applyBorder="1" applyAlignment="1">
      <alignment horizontal="center"/>
    </xf>
    <xf numFmtId="0" fontId="29" fillId="0" borderId="169" xfId="49" applyNumberFormat="1" applyFont="1" applyBorder="1" applyAlignment="1" applyProtection="1">
      <alignment horizontal="center" vertical="center"/>
    </xf>
    <xf numFmtId="166" fontId="29" fillId="0" borderId="170" xfId="50" applyFont="1" applyBorder="1" applyAlignment="1" applyProtection="1">
      <alignment vertical="center"/>
    </xf>
    <xf numFmtId="0" fontId="29" fillId="0" borderId="102" xfId="49" applyFont="1" applyBorder="1" applyAlignment="1">
      <alignment horizontal="center"/>
    </xf>
    <xf numFmtId="44" fontId="29" fillId="0" borderId="11" xfId="49" applyNumberFormat="1" applyFont="1" applyBorder="1" applyAlignment="1" applyProtection="1">
      <alignment horizontal="center" vertical="center"/>
    </xf>
    <xf numFmtId="0" fontId="29" fillId="0" borderId="175" xfId="49" applyNumberFormat="1" applyFont="1" applyBorder="1" applyAlignment="1" applyProtection="1">
      <alignment horizontal="center" vertical="center"/>
    </xf>
    <xf numFmtId="44" fontId="29" fillId="0" borderId="152" xfId="0" applyNumberFormat="1" applyFont="1" applyBorder="1" applyAlignment="1" applyProtection="1">
      <alignment horizontal="center" vertical="center"/>
    </xf>
    <xf numFmtId="0" fontId="28" fillId="33" borderId="156" xfId="49" applyFont="1" applyFill="1" applyBorder="1" applyAlignment="1" applyProtection="1">
      <alignment horizontal="center" vertical="center"/>
    </xf>
    <xf numFmtId="10" fontId="28" fillId="33" borderId="154" xfId="49" applyNumberFormat="1" applyFont="1" applyFill="1" applyBorder="1" applyAlignment="1" applyProtection="1">
      <alignment horizontal="center" vertical="center"/>
    </xf>
    <xf numFmtId="170" fontId="28" fillId="33" borderId="170" xfId="49" applyNumberFormat="1" applyFont="1" applyFill="1" applyBorder="1" applyAlignment="1" applyProtection="1">
      <alignment horizontal="right" vertical="center"/>
    </xf>
    <xf numFmtId="0" fontId="28" fillId="33" borderId="102" xfId="49" applyFont="1" applyFill="1" applyBorder="1" applyAlignment="1" applyProtection="1">
      <alignment horizontal="center" vertical="center"/>
    </xf>
    <xf numFmtId="170" fontId="28" fillId="33" borderId="157" xfId="49" applyNumberFormat="1" applyFont="1" applyFill="1" applyBorder="1" applyAlignment="1" applyProtection="1">
      <alignment horizontal="right" vertical="center"/>
    </xf>
    <xf numFmtId="0" fontId="28" fillId="31" borderId="155" xfId="49" applyFont="1" applyFill="1" applyBorder="1" applyAlignment="1" applyProtection="1">
      <alignment horizontal="left" vertical="center"/>
    </xf>
    <xf numFmtId="0" fontId="28" fillId="31" borderId="174" xfId="49" applyFont="1" applyFill="1" applyBorder="1" applyAlignment="1" applyProtection="1">
      <alignment horizontal="left" vertical="center"/>
    </xf>
    <xf numFmtId="0" fontId="29" fillId="0" borderId="168" xfId="49" applyFont="1" applyBorder="1" applyAlignment="1">
      <alignment horizontal="center"/>
    </xf>
    <xf numFmtId="170" fontId="29" fillId="0" borderId="170" xfId="50" applyNumberFormat="1" applyFont="1" applyBorder="1" applyAlignment="1" applyProtection="1">
      <alignment vertical="center"/>
    </xf>
    <xf numFmtId="0" fontId="29" fillId="0" borderId="101" xfId="49" applyFont="1" applyBorder="1" applyAlignment="1">
      <alignment horizontal="center"/>
    </xf>
    <xf numFmtId="170" fontId="29" fillId="0" borderId="157" xfId="50" applyNumberFormat="1" applyFont="1" applyBorder="1" applyAlignment="1" applyProtection="1">
      <alignment vertical="center"/>
    </xf>
    <xf numFmtId="170" fontId="29" fillId="0" borderId="153" xfId="50" applyNumberFormat="1" applyFont="1" applyBorder="1" applyAlignment="1" applyProtection="1">
      <alignment vertical="center"/>
    </xf>
    <xf numFmtId="170" fontId="28" fillId="32" borderId="153" xfId="49" applyNumberFormat="1" applyFont="1" applyFill="1" applyBorder="1" applyAlignment="1" applyProtection="1">
      <alignment horizontal="right" vertical="center"/>
    </xf>
    <xf numFmtId="10" fontId="29" fillId="0" borderId="175" xfId="35" applyNumberFormat="1" applyFont="1" applyFill="1" applyBorder="1" applyAlignment="1" applyProtection="1">
      <alignment horizontal="center" vertical="center"/>
    </xf>
    <xf numFmtId="10" fontId="28" fillId="32" borderId="138" xfId="49" applyNumberFormat="1" applyFont="1" applyFill="1" applyBorder="1" applyAlignment="1" applyProtection="1">
      <alignment horizontal="center" vertical="center"/>
    </xf>
    <xf numFmtId="170" fontId="28" fillId="32" borderId="164" xfId="49" applyNumberFormat="1" applyFont="1" applyFill="1" applyBorder="1" applyAlignment="1" applyProtection="1">
      <alignment horizontal="right" vertical="center"/>
    </xf>
    <xf numFmtId="10" fontId="29" fillId="0" borderId="0" xfId="49" applyNumberFormat="1" applyFont="1"/>
    <xf numFmtId="1" fontId="29" fillId="0" borderId="154" xfId="49" applyNumberFormat="1" applyFont="1" applyBorder="1" applyAlignment="1" applyProtection="1">
      <alignment horizontal="center" vertical="center"/>
    </xf>
    <xf numFmtId="10" fontId="29" fillId="0" borderId="175" xfId="35" applyNumberFormat="1" applyFont="1" applyBorder="1" applyAlignment="1" applyProtection="1">
      <alignment horizontal="center" vertical="center"/>
    </xf>
    <xf numFmtId="10" fontId="28" fillId="0" borderId="87" xfId="35" applyNumberFormat="1" applyFont="1" applyBorder="1" applyAlignment="1" applyProtection="1">
      <alignment horizontal="center" vertical="center"/>
    </xf>
    <xf numFmtId="170" fontId="28" fillId="0" borderId="153" xfId="50" applyNumberFormat="1" applyFont="1" applyBorder="1" applyAlignment="1" applyProtection="1">
      <alignment vertical="center"/>
    </xf>
    <xf numFmtId="10" fontId="28" fillId="32" borderId="91" xfId="49" applyNumberFormat="1" applyFont="1" applyFill="1" applyBorder="1" applyAlignment="1" applyProtection="1">
      <alignment horizontal="center" vertical="center"/>
    </xf>
    <xf numFmtId="0" fontId="29" fillId="25" borderId="156" xfId="49" applyFont="1" applyFill="1" applyBorder="1"/>
    <xf numFmtId="0" fontId="28" fillId="32" borderId="155" xfId="49" applyFont="1" applyFill="1" applyBorder="1" applyAlignment="1" applyProtection="1">
      <alignment vertical="center"/>
    </xf>
    <xf numFmtId="0" fontId="28" fillId="32" borderId="154" xfId="49" applyFont="1" applyFill="1" applyBorder="1" applyAlignment="1" applyProtection="1">
      <alignment vertical="center"/>
    </xf>
    <xf numFmtId="166" fontId="28" fillId="32" borderId="170" xfId="31" applyNumberFormat="1" applyFont="1" applyFill="1" applyBorder="1" applyAlignment="1" applyProtection="1">
      <alignment vertical="center"/>
    </xf>
    <xf numFmtId="0" fontId="29" fillId="25" borderId="102" xfId="49" applyFont="1" applyFill="1" applyBorder="1"/>
    <xf numFmtId="8" fontId="28" fillId="32" borderId="157" xfId="31" applyNumberFormat="1" applyFont="1" applyFill="1" applyBorder="1" applyAlignment="1" applyProtection="1">
      <alignment vertical="center"/>
    </xf>
    <xf numFmtId="0" fontId="29" fillId="0" borderId="102" xfId="49" applyFont="1" applyFill="1" applyBorder="1"/>
    <xf numFmtId="0" fontId="28" fillId="0" borderId="0" xfId="49" applyFont="1" applyFill="1" applyBorder="1" applyAlignment="1" applyProtection="1">
      <alignment vertical="center"/>
    </xf>
    <xf numFmtId="1" fontId="30" fillId="0" borderId="11" xfId="49" applyNumberFormat="1" applyFont="1" applyFill="1" applyBorder="1" applyAlignment="1" applyProtection="1">
      <alignment vertical="center"/>
    </xf>
    <xf numFmtId="171" fontId="28" fillId="0" borderId="157" xfId="31" applyNumberFormat="1" applyFont="1" applyFill="1" applyBorder="1" applyAlignment="1" applyProtection="1">
      <alignment horizontal="center" vertical="center"/>
    </xf>
    <xf numFmtId="0" fontId="28" fillId="36" borderId="102" xfId="49" applyFont="1" applyFill="1" applyBorder="1" applyAlignment="1" applyProtection="1">
      <alignment vertical="center"/>
    </xf>
    <xf numFmtId="8" fontId="28" fillId="37" borderId="157" xfId="31" applyNumberFormat="1" applyFont="1" applyFill="1" applyBorder="1" applyAlignment="1" applyProtection="1">
      <alignment vertical="center"/>
    </xf>
    <xf numFmtId="0" fontId="28" fillId="36" borderId="73" xfId="49" applyFont="1" applyFill="1" applyBorder="1" applyAlignment="1" applyProtection="1">
      <alignment vertical="center"/>
    </xf>
    <xf numFmtId="3" fontId="28" fillId="36" borderId="180" xfId="35" applyNumberFormat="1" applyFont="1" applyFill="1" applyBorder="1" applyAlignment="1" applyProtection="1">
      <alignment vertical="center"/>
    </xf>
    <xf numFmtId="8" fontId="28" fillId="36" borderId="181" xfId="31" applyNumberFormat="1" applyFont="1" applyFill="1" applyBorder="1" applyAlignment="1" applyProtection="1">
      <alignment vertical="center"/>
    </xf>
    <xf numFmtId="0" fontId="28" fillId="47" borderId="106" xfId="0" applyFont="1" applyFill="1" applyBorder="1" applyAlignment="1">
      <alignment vertical="center"/>
    </xf>
    <xf numFmtId="43" fontId="33" fillId="42" borderId="182" xfId="0" applyNumberFormat="1" applyFont="1" applyFill="1" applyBorder="1"/>
    <xf numFmtId="44" fontId="29" fillId="0" borderId="11" xfId="49" applyNumberFormat="1" applyFont="1" applyFill="1" applyBorder="1" applyAlignment="1" applyProtection="1">
      <alignment horizontal="center" vertical="center"/>
    </xf>
    <xf numFmtId="44" fontId="29" fillId="0" borderId="11" xfId="0" applyNumberFormat="1" applyFont="1" applyFill="1" applyBorder="1" applyAlignment="1" applyProtection="1">
      <alignment horizontal="center" vertical="center"/>
    </xf>
    <xf numFmtId="10" fontId="29" fillId="0" borderId="87" xfId="35" applyNumberFormat="1" applyFont="1" applyFill="1" applyBorder="1" applyAlignment="1" applyProtection="1">
      <alignment horizontal="center" vertical="center"/>
    </xf>
    <xf numFmtId="10" fontId="29" fillId="0" borderId="108" xfId="51" applyNumberFormat="1" applyFont="1" applyBorder="1" applyAlignment="1" applyProtection="1">
      <alignment horizontal="center" vertical="center"/>
    </xf>
    <xf numFmtId="44" fontId="29" fillId="0" borderId="154" xfId="49" applyNumberFormat="1" applyFont="1" applyFill="1" applyBorder="1" applyAlignment="1" applyProtection="1">
      <alignment horizontal="center" vertical="center"/>
    </xf>
    <xf numFmtId="166" fontId="33" fillId="16" borderId="61" xfId="0" applyNumberFormat="1" applyFont="1" applyFill="1" applyBorder="1" applyAlignment="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8" fillId="31" borderId="165"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33" fillId="42" borderId="178" xfId="0" applyFont="1" applyFill="1" applyBorder="1" applyProtection="1"/>
    <xf numFmtId="0" fontId="33" fillId="42" borderId="178" xfId="0" applyFont="1" applyFill="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0" fontId="32" fillId="16" borderId="32" xfId="0" applyFont="1" applyFill="1" applyBorder="1"/>
    <xf numFmtId="0" fontId="33" fillId="43" borderId="71" xfId="0" applyFont="1" applyFill="1" applyBorder="1"/>
    <xf numFmtId="2" fontId="32" fillId="0" borderId="186" xfId="0" applyNumberFormat="1" applyFont="1" applyBorder="1"/>
    <xf numFmtId="2" fontId="33" fillId="0" borderId="187" xfId="0" applyNumberFormat="1" applyFont="1" applyBorder="1"/>
    <xf numFmtId="3" fontId="33" fillId="42" borderId="33" xfId="0" applyNumberFormat="1" applyFont="1" applyFill="1" applyBorder="1"/>
    <xf numFmtId="0" fontId="33" fillId="16" borderId="61" xfId="0" applyFont="1" applyFill="1" applyBorder="1" applyAlignment="1">
      <alignment horizontal="right" vertical="center"/>
    </xf>
    <xf numFmtId="0" fontId="33" fillId="16" borderId="190" xfId="0" applyFont="1" applyFill="1" applyBorder="1" applyAlignment="1">
      <alignment vertical="center"/>
    </xf>
    <xf numFmtId="0" fontId="33" fillId="0" borderId="189" xfId="0" applyNumberFormat="1" applyFont="1" applyBorder="1"/>
    <xf numFmtId="166" fontId="33" fillId="0" borderId="189" xfId="0" applyNumberFormat="1" applyFont="1" applyBorder="1"/>
    <xf numFmtId="0" fontId="29" fillId="0" borderId="185" xfId="0" applyFont="1" applyBorder="1" applyAlignment="1">
      <alignment horizontal="center"/>
    </xf>
    <xf numFmtId="0" fontId="29" fillId="0" borderId="185" xfId="49" applyFont="1" applyBorder="1" applyAlignment="1">
      <alignment horizontal="center"/>
    </xf>
    <xf numFmtId="0" fontId="33" fillId="16" borderId="185" xfId="0" applyFont="1" applyFill="1" applyBorder="1" applyAlignment="1">
      <alignment vertical="center"/>
    </xf>
    <xf numFmtId="0" fontId="33" fillId="16" borderId="162" xfId="0" applyFont="1" applyFill="1" applyBorder="1" applyAlignment="1">
      <alignment vertical="center"/>
    </xf>
    <xf numFmtId="166" fontId="33" fillId="0" borderId="188" xfId="0" applyNumberFormat="1" applyFont="1" applyBorder="1"/>
    <xf numFmtId="0" fontId="33" fillId="43" borderId="191" xfId="0" applyFont="1" applyFill="1" applyBorder="1"/>
    <xf numFmtId="0" fontId="32" fillId="0" borderId="195" xfId="0" applyFont="1" applyBorder="1"/>
    <xf numFmtId="166" fontId="33" fillId="16" borderId="190" xfId="0" applyNumberFormat="1" applyFont="1" applyFill="1" applyBorder="1" applyAlignment="1">
      <alignment vertical="center"/>
    </xf>
    <xf numFmtId="0" fontId="33" fillId="43" borderId="191" xfId="0" applyFont="1" applyFill="1" applyBorder="1" applyAlignment="1">
      <alignment vertical="center"/>
    </xf>
    <xf numFmtId="0" fontId="33" fillId="43" borderId="193" xfId="0" applyFont="1" applyFill="1" applyBorder="1"/>
    <xf numFmtId="0" fontId="32" fillId="43" borderId="194" xfId="0" applyFont="1" applyFill="1" applyBorder="1" applyAlignment="1">
      <alignment horizontal="right" vertical="center"/>
    </xf>
    <xf numFmtId="4" fontId="32" fillId="0" borderId="196" xfId="0" applyNumberFormat="1" applyFont="1" applyBorder="1"/>
    <xf numFmtId="0" fontId="33" fillId="0" borderId="189" xfId="0" applyFont="1" applyBorder="1"/>
    <xf numFmtId="176" fontId="33" fillId="0" borderId="189" xfId="0" applyNumberFormat="1" applyFont="1" applyBorder="1"/>
    <xf numFmtId="174" fontId="32" fillId="55" borderId="64" xfId="0" applyNumberFormat="1" applyFont="1" applyFill="1" applyBorder="1"/>
    <xf numFmtId="2" fontId="32" fillId="0" borderId="195" xfId="0" applyNumberFormat="1" applyFont="1" applyBorder="1"/>
    <xf numFmtId="0" fontId="33" fillId="16" borderId="199" xfId="0" applyFont="1" applyFill="1" applyBorder="1" applyAlignment="1">
      <alignment horizontal="right" vertical="center"/>
    </xf>
    <xf numFmtId="166" fontId="33" fillId="0" borderId="52" xfId="65" applyFont="1" applyFill="1" applyBorder="1" applyAlignment="1" applyProtection="1"/>
    <xf numFmtId="0" fontId="35" fillId="40" borderId="94" xfId="47" applyFont="1" applyFill="1" applyBorder="1" applyAlignment="1">
      <alignment horizontal="center" vertical="center" wrapText="1"/>
    </xf>
    <xf numFmtId="0" fontId="35" fillId="40" borderId="153" xfId="47" applyFont="1" applyFill="1" applyBorder="1" applyAlignment="1">
      <alignment horizontal="center" vertical="center" wrapText="1"/>
    </xf>
    <xf numFmtId="166" fontId="33" fillId="0" borderId="201" xfId="0" applyNumberFormat="1" applyFont="1" applyFill="1" applyBorder="1" applyAlignment="1">
      <alignment horizontal="center"/>
    </xf>
    <xf numFmtId="174" fontId="32" fillId="50" borderId="64" xfId="0" applyNumberFormat="1" applyFont="1" applyFill="1" applyBorder="1"/>
    <xf numFmtId="0" fontId="34" fillId="42" borderId="185" xfId="0" applyFont="1" applyFill="1" applyBorder="1" applyAlignment="1" applyProtection="1">
      <alignment horizontal="left"/>
    </xf>
    <xf numFmtId="0" fontId="35" fillId="40" borderId="220" xfId="47" applyFont="1" applyFill="1" applyBorder="1" applyAlignment="1">
      <alignment horizontal="center" vertical="center" wrapText="1"/>
    </xf>
    <xf numFmtId="0" fontId="35" fillId="40" borderId="221" xfId="47" applyFont="1" applyFill="1" applyBorder="1" applyAlignment="1">
      <alignment horizontal="center" vertical="center" wrapText="1"/>
    </xf>
    <xf numFmtId="0" fontId="35" fillId="40" borderId="222" xfId="47" applyFont="1" applyFill="1" applyBorder="1" applyAlignment="1">
      <alignment horizontal="center" vertical="center" wrapText="1"/>
    </xf>
    <xf numFmtId="0" fontId="29" fillId="0" borderId="214" xfId="0" applyFont="1" applyFill="1" applyBorder="1"/>
    <xf numFmtId="0" fontId="29" fillId="0" borderId="215" xfId="0" applyFont="1" applyFill="1" applyBorder="1" applyAlignment="1">
      <alignment horizontal="center" vertical="center"/>
    </xf>
    <xf numFmtId="44" fontId="29" fillId="0" borderId="219" xfId="50" applyNumberFormat="1" applyFont="1" applyFill="1" applyBorder="1" applyAlignment="1">
      <alignment horizontal="center" vertical="center"/>
    </xf>
    <xf numFmtId="0" fontId="29" fillId="0" borderId="214" xfId="50" applyNumberFormat="1" applyFont="1" applyFill="1" applyBorder="1" applyAlignment="1">
      <alignment horizontal="center" vertical="center"/>
    </xf>
    <xf numFmtId="44" fontId="29" fillId="0" borderId="208" xfId="50" applyNumberFormat="1" applyFont="1" applyFill="1" applyBorder="1" applyAlignment="1">
      <alignment horizontal="center" vertical="center"/>
    </xf>
    <xf numFmtId="0" fontId="29" fillId="0" borderId="210" xfId="50" applyNumberFormat="1" applyFont="1" applyFill="1" applyBorder="1" applyAlignment="1">
      <alignment horizontal="center" vertical="center"/>
    </xf>
    <xf numFmtId="44" fontId="29" fillId="24" borderId="211" xfId="48" applyNumberFormat="1" applyFont="1" applyFill="1" applyBorder="1" applyAlignment="1">
      <alignment horizontal="center" vertical="center"/>
    </xf>
    <xf numFmtId="0" fontId="29" fillId="0" borderId="209" xfId="0" applyFont="1" applyFill="1" applyBorder="1"/>
    <xf numFmtId="0" fontId="29" fillId="0" borderId="214" xfId="0" applyFont="1" applyFill="1" applyBorder="1" applyAlignment="1">
      <alignment wrapText="1"/>
    </xf>
    <xf numFmtId="0" fontId="29" fillId="0" borderId="223" xfId="0" applyFont="1" applyFill="1" applyBorder="1"/>
    <xf numFmtId="0" fontId="29" fillId="0" borderId="224" xfId="0" applyFont="1" applyFill="1" applyBorder="1" applyAlignment="1">
      <alignment horizontal="center" vertical="center"/>
    </xf>
    <xf numFmtId="44" fontId="29" fillId="0" borderId="207" xfId="50" applyNumberFormat="1" applyFont="1" applyFill="1" applyBorder="1" applyAlignment="1">
      <alignment horizontal="center" vertical="center"/>
    </xf>
    <xf numFmtId="0" fontId="29" fillId="0" borderId="220" xfId="50" applyNumberFormat="1" applyFont="1" applyFill="1" applyBorder="1" applyAlignment="1">
      <alignment horizontal="center" vertical="center"/>
    </xf>
    <xf numFmtId="0" fontId="29" fillId="0" borderId="222" xfId="50" applyNumberFormat="1" applyFont="1" applyFill="1" applyBorder="1" applyAlignment="1">
      <alignment horizontal="center" vertical="center"/>
    </xf>
    <xf numFmtId="44" fontId="29" fillId="24" borderId="221" xfId="48" applyNumberFormat="1" applyFont="1" applyFill="1" applyBorder="1" applyAlignment="1">
      <alignment horizontal="center" vertical="center"/>
    </xf>
    <xf numFmtId="0" fontId="28" fillId="25" borderId="212" xfId="47" applyFont="1" applyFill="1" applyBorder="1" applyAlignment="1">
      <alignment vertical="center"/>
    </xf>
    <xf numFmtId="0" fontId="28" fillId="25" borderId="212" xfId="47" applyFont="1" applyFill="1" applyBorder="1" applyAlignment="1">
      <alignment horizontal="center" vertical="center"/>
    </xf>
    <xf numFmtId="44" fontId="28" fillId="25" borderId="198" xfId="47" applyNumberFormat="1" applyFont="1" applyFill="1" applyBorder="1" applyAlignment="1">
      <alignment vertical="center"/>
    </xf>
    <xf numFmtId="44" fontId="28" fillId="25" borderId="198" xfId="48" applyNumberFormat="1" applyFont="1" applyFill="1" applyBorder="1" applyAlignment="1">
      <alignment horizontal="center" vertical="center"/>
    </xf>
    <xf numFmtId="0" fontId="29" fillId="0" borderId="220" xfId="0" applyFont="1" applyFill="1" applyBorder="1"/>
    <xf numFmtId="44" fontId="29" fillId="0" borderId="225" xfId="50" applyNumberFormat="1" applyFont="1" applyFill="1" applyBorder="1" applyAlignment="1">
      <alignment horizontal="center" vertical="center"/>
    </xf>
    <xf numFmtId="0" fontId="29" fillId="63" borderId="159" xfId="50" applyNumberFormat="1" applyFont="1" applyFill="1" applyBorder="1" applyAlignment="1">
      <alignment horizontal="center" vertical="center"/>
    </xf>
    <xf numFmtId="0" fontId="29" fillId="63" borderId="197" xfId="50" applyNumberFormat="1" applyFont="1" applyFill="1" applyBorder="1" applyAlignment="1">
      <alignment horizontal="center" vertical="center"/>
    </xf>
    <xf numFmtId="0" fontId="28" fillId="63" borderId="198" xfId="48" applyNumberFormat="1" applyFont="1" applyFill="1" applyBorder="1" applyAlignment="1">
      <alignment horizontal="right" vertical="center"/>
    </xf>
    <xf numFmtId="0" fontId="28" fillId="63" borderId="198" xfId="50" applyNumberFormat="1" applyFont="1" applyFill="1" applyBorder="1" applyAlignment="1">
      <alignment horizontal="right" vertical="center"/>
    </xf>
    <xf numFmtId="174" fontId="32" fillId="54" borderId="59" xfId="0" applyNumberFormat="1" applyFont="1" applyFill="1" applyBorder="1"/>
    <xf numFmtId="174" fontId="32" fillId="61" borderId="205" xfId="0" applyNumberFormat="1" applyFont="1" applyFill="1" applyBorder="1"/>
    <xf numFmtId="174" fontId="32" fillId="61" borderId="64" xfId="0" applyNumberFormat="1" applyFont="1" applyFill="1" applyBorder="1"/>
    <xf numFmtId="0" fontId="29" fillId="24" borderId="216" xfId="47" applyFont="1" applyFill="1" applyBorder="1" applyAlignment="1">
      <alignment horizontal="center" vertical="center"/>
    </xf>
    <xf numFmtId="0" fontId="29" fillId="24" borderId="217" xfId="47" applyFont="1" applyFill="1" applyBorder="1" applyAlignment="1">
      <alignment horizontal="center" vertical="center"/>
    </xf>
    <xf numFmtId="0" fontId="29" fillId="24" borderId="183" xfId="47" applyFont="1" applyFill="1" applyBorder="1" applyAlignment="1">
      <alignment horizontal="center" vertical="center"/>
    </xf>
    <xf numFmtId="0" fontId="28" fillId="25" borderId="223" xfId="47" applyFont="1" applyFill="1" applyBorder="1" applyAlignment="1">
      <alignment horizontal="center" vertical="center"/>
    </xf>
    <xf numFmtId="44" fontId="28" fillId="25" borderId="221" xfId="47" applyNumberFormat="1" applyFont="1" applyFill="1" applyBorder="1" applyAlignment="1">
      <alignment horizontal="center" vertical="center"/>
    </xf>
    <xf numFmtId="0" fontId="28" fillId="25" borderId="21" xfId="33" applyFont="1" applyFill="1" applyBorder="1" applyAlignment="1">
      <alignment vertical="center"/>
    </xf>
    <xf numFmtId="167" fontId="28" fillId="25" borderId="221" xfId="46" applyFont="1" applyFill="1" applyBorder="1" applyAlignment="1">
      <alignment horizontal="center" vertical="center"/>
    </xf>
    <xf numFmtId="174" fontId="32" fillId="62" borderId="64" xfId="0" applyNumberFormat="1" applyFont="1" applyFill="1" applyBorder="1" applyAlignment="1">
      <alignment vertical="center"/>
    </xf>
    <xf numFmtId="174" fontId="32" fillId="61" borderId="205" xfId="0" applyNumberFormat="1" applyFont="1" applyFill="1" applyBorder="1" applyAlignment="1">
      <alignment vertical="center"/>
    </xf>
    <xf numFmtId="174" fontId="32" fillId="50" borderId="229" xfId="0" applyNumberFormat="1" applyFont="1" applyFill="1" applyBorder="1" applyAlignment="1"/>
    <xf numFmtId="174" fontId="32" fillId="68" borderId="230" xfId="0" applyNumberFormat="1" applyFont="1" applyFill="1" applyBorder="1"/>
    <xf numFmtId="174" fontId="32" fillId="52" borderId="205" xfId="0" applyNumberFormat="1" applyFont="1" applyFill="1" applyBorder="1" applyAlignment="1">
      <alignment vertical="center"/>
    </xf>
    <xf numFmtId="174" fontId="32" fillId="62" borderId="64" xfId="0" applyNumberFormat="1" applyFont="1" applyFill="1" applyBorder="1"/>
    <xf numFmtId="174" fontId="32" fillId="68" borderId="64" xfId="0" applyNumberFormat="1" applyFont="1" applyFill="1" applyBorder="1"/>
    <xf numFmtId="174" fontId="32" fillId="54" borderId="64" xfId="0" applyNumberFormat="1" applyFont="1" applyFill="1" applyBorder="1"/>
    <xf numFmtId="174" fontId="32" fillId="50" borderId="233" xfId="0" applyNumberFormat="1" applyFont="1" applyFill="1" applyBorder="1" applyAlignment="1"/>
    <xf numFmtId="8" fontId="32" fillId="56" borderId="205" xfId="0" applyNumberFormat="1" applyFont="1" applyFill="1" applyBorder="1" applyAlignment="1">
      <alignment vertical="center"/>
    </xf>
    <xf numFmtId="174" fontId="32" fillId="52" borderId="93" xfId="0" applyNumberFormat="1" applyFont="1" applyFill="1" applyBorder="1" applyAlignment="1">
      <alignment vertical="center"/>
    </xf>
    <xf numFmtId="174" fontId="32" fillId="66" borderId="64" xfId="0" applyNumberFormat="1" applyFont="1" applyFill="1" applyBorder="1"/>
    <xf numFmtId="174" fontId="32" fillId="69" borderId="64" xfId="0" applyNumberFormat="1" applyFont="1" applyFill="1" applyBorder="1"/>
    <xf numFmtId="174" fontId="32" fillId="68" borderId="221" xfId="0" applyNumberFormat="1" applyFont="1" applyFill="1" applyBorder="1"/>
    <xf numFmtId="2" fontId="32" fillId="0" borderId="249" xfId="0" applyNumberFormat="1" applyFont="1" applyBorder="1"/>
    <xf numFmtId="0" fontId="33" fillId="0" borderId="33" xfId="0" applyFont="1" applyFill="1" applyBorder="1"/>
    <xf numFmtId="166" fontId="33" fillId="0" borderId="33" xfId="0" applyNumberFormat="1" applyFont="1" applyFill="1" applyBorder="1"/>
    <xf numFmtId="0" fontId="33" fillId="16" borderId="61" xfId="0" applyNumberFormat="1" applyFont="1" applyFill="1" applyBorder="1" applyAlignment="1">
      <alignment vertical="center"/>
    </xf>
    <xf numFmtId="0" fontId="33" fillId="16" borderId="231" xfId="0" applyFont="1" applyFill="1" applyBorder="1" applyAlignment="1">
      <alignment vertical="center"/>
    </xf>
    <xf numFmtId="166" fontId="33" fillId="0" borderId="232" xfId="0" applyNumberFormat="1" applyFont="1" applyBorder="1"/>
    <xf numFmtId="2" fontId="33" fillId="0" borderId="250" xfId="0" applyNumberFormat="1" applyFont="1" applyBorder="1"/>
    <xf numFmtId="0" fontId="29" fillId="0" borderId="41" xfId="0" applyFont="1" applyFill="1" applyBorder="1" applyAlignment="1">
      <alignment wrapText="1"/>
    </xf>
    <xf numFmtId="0" fontId="29" fillId="24" borderId="49" xfId="50" applyNumberFormat="1" applyFont="1" applyFill="1" applyBorder="1" applyAlignment="1">
      <alignment horizontal="center" vertical="center"/>
    </xf>
    <xf numFmtId="0" fontId="29" fillId="0" borderId="41" xfId="0" applyFont="1" applyFill="1" applyBorder="1" applyAlignment="1">
      <alignment horizontal="left" wrapText="1"/>
    </xf>
    <xf numFmtId="0" fontId="35" fillId="40" borderId="153" xfId="47" applyFont="1" applyFill="1" applyBorder="1" applyAlignment="1">
      <alignment horizontal="center" vertical="center" wrapText="1"/>
    </xf>
    <xf numFmtId="0" fontId="28" fillId="25" borderId="71" xfId="47" applyFont="1" applyFill="1" applyBorder="1" applyAlignment="1">
      <alignment horizontal="center" vertical="center"/>
    </xf>
    <xf numFmtId="0" fontId="35" fillId="40" borderId="153"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9" fontId="29" fillId="0" borderId="246" xfId="51" applyFont="1" applyFill="1" applyBorder="1" applyAlignment="1">
      <alignment horizontal="center" vertical="center"/>
    </xf>
    <xf numFmtId="9" fontId="29" fillId="0" borderId="257" xfId="51" applyFont="1" applyFill="1" applyBorder="1" applyAlignment="1">
      <alignment horizontal="center" vertical="center"/>
    </xf>
    <xf numFmtId="0" fontId="29" fillId="24" borderId="200" xfId="47" applyFont="1" applyFill="1" applyBorder="1" applyAlignment="1">
      <alignment horizontal="center" vertical="center"/>
    </xf>
    <xf numFmtId="0" fontId="29" fillId="24" borderId="178" xfId="47" applyFont="1" applyFill="1" applyBorder="1" applyAlignment="1">
      <alignment horizontal="center" vertical="center"/>
    </xf>
    <xf numFmtId="0" fontId="29" fillId="24" borderId="214" xfId="47" applyFont="1" applyFill="1" applyBorder="1" applyAlignment="1">
      <alignment horizontal="center" vertical="center"/>
    </xf>
    <xf numFmtId="0" fontId="29" fillId="24" borderId="252" xfId="47" applyFont="1" applyFill="1" applyBorder="1" applyAlignment="1">
      <alignment horizontal="center" vertical="center"/>
    </xf>
    <xf numFmtId="0" fontId="29" fillId="24" borderId="261" xfId="47" applyFont="1" applyFill="1" applyBorder="1" applyAlignment="1">
      <alignment horizontal="center" vertical="center"/>
    </xf>
    <xf numFmtId="0" fontId="29" fillId="24" borderId="245" xfId="47" applyFont="1" applyFill="1" applyBorder="1" applyAlignment="1">
      <alignment horizontal="center" vertical="center"/>
    </xf>
    <xf numFmtId="9" fontId="29" fillId="24" borderId="246" xfId="51" applyFont="1" applyFill="1" applyBorder="1" applyAlignment="1">
      <alignment horizontal="center" vertical="center"/>
    </xf>
    <xf numFmtId="9" fontId="29" fillId="24" borderId="257" xfId="51" applyFont="1" applyFill="1" applyBorder="1" applyAlignment="1">
      <alignment horizontal="center" vertical="center"/>
    </xf>
    <xf numFmtId="44" fontId="29" fillId="24" borderId="251" xfId="47" applyNumberFormat="1" applyFont="1" applyFill="1" applyBorder="1" applyAlignment="1">
      <alignment horizontal="center" vertical="center"/>
    </xf>
    <xf numFmtId="44" fontId="29" fillId="24" borderId="256" xfId="47" applyNumberFormat="1" applyFont="1" applyFill="1" applyBorder="1" applyAlignment="1">
      <alignment horizontal="center" vertical="center"/>
    </xf>
    <xf numFmtId="44" fontId="29" fillId="24" borderId="247" xfId="47" applyNumberFormat="1" applyFont="1" applyFill="1" applyBorder="1" applyAlignment="1">
      <alignment horizontal="center" vertical="center"/>
    </xf>
    <xf numFmtId="44" fontId="29" fillId="24" borderId="258" xfId="47" applyNumberFormat="1" applyFont="1" applyFill="1" applyBorder="1" applyAlignment="1">
      <alignment horizontal="center" vertical="center"/>
    </xf>
    <xf numFmtId="0" fontId="29" fillId="24" borderId="220" xfId="47" applyFont="1" applyFill="1" applyBorder="1" applyAlignment="1">
      <alignment horizontal="center" vertical="center"/>
    </xf>
    <xf numFmtId="9" fontId="29" fillId="24" borderId="65" xfId="51" applyFont="1" applyFill="1" applyBorder="1" applyAlignment="1">
      <alignment horizontal="center" vertical="center"/>
    </xf>
    <xf numFmtId="44" fontId="29" fillId="24" borderId="24" xfId="47" applyNumberFormat="1" applyFont="1" applyFill="1" applyBorder="1" applyAlignment="1">
      <alignment horizontal="center" vertical="center"/>
    </xf>
    <xf numFmtId="44" fontId="29" fillId="24" borderId="66" xfId="47" applyNumberFormat="1" applyFont="1" applyFill="1" applyBorder="1" applyAlignment="1">
      <alignment horizontal="center" vertical="center"/>
    </xf>
    <xf numFmtId="0" fontId="29" fillId="24" borderId="29" xfId="47" applyFont="1" applyFill="1" applyBorder="1" applyAlignment="1">
      <alignment horizontal="center" vertical="center"/>
    </xf>
    <xf numFmtId="0" fontId="28" fillId="25" borderId="212" xfId="33" applyFont="1" applyFill="1" applyBorder="1" applyAlignment="1">
      <alignment vertical="center"/>
    </xf>
    <xf numFmtId="167" fontId="28" fillId="25" borderId="64" xfId="46" applyFont="1" applyFill="1" applyBorder="1" applyAlignment="1">
      <alignment horizontal="center" vertical="center"/>
    </xf>
    <xf numFmtId="0" fontId="29" fillId="24" borderId="214" xfId="47" applyFont="1" applyFill="1" applyBorder="1" applyAlignment="1">
      <alignment horizontal="left" vertical="center"/>
    </xf>
    <xf numFmtId="0" fontId="29" fillId="24" borderId="220" xfId="47" applyFont="1" applyFill="1" applyBorder="1" applyAlignment="1">
      <alignment horizontal="left" vertical="center"/>
    </xf>
    <xf numFmtId="0" fontId="29" fillId="24" borderId="245" xfId="47" applyFont="1" applyFill="1" applyBorder="1" applyAlignment="1">
      <alignment horizontal="justify" vertical="center" wrapText="1"/>
    </xf>
    <xf numFmtId="9" fontId="29" fillId="0" borderId="65" xfId="51" applyFont="1" applyFill="1" applyBorder="1" applyAlignment="1">
      <alignment horizontal="center" vertical="center"/>
    </xf>
    <xf numFmtId="0" fontId="29" fillId="24" borderId="245" xfId="47" applyFont="1" applyFill="1" applyBorder="1" applyAlignment="1">
      <alignment horizontal="left" vertical="center"/>
    </xf>
    <xf numFmtId="44" fontId="29" fillId="24" borderId="247" xfId="64" applyFont="1" applyFill="1" applyBorder="1" applyAlignment="1">
      <alignment horizontal="center" vertical="center"/>
    </xf>
    <xf numFmtId="44" fontId="29" fillId="24" borderId="258" xfId="64" applyFont="1" applyFill="1" applyBorder="1" applyAlignment="1">
      <alignment horizontal="center" vertical="center"/>
    </xf>
    <xf numFmtId="44" fontId="29" fillId="24" borderId="251" xfId="64" applyFont="1" applyFill="1" applyBorder="1" applyAlignment="1">
      <alignment horizontal="center" vertical="center"/>
    </xf>
    <xf numFmtId="44" fontId="29" fillId="24" borderId="256" xfId="64" applyFont="1" applyFill="1" applyBorder="1" applyAlignment="1">
      <alignment horizontal="center" vertical="center"/>
    </xf>
    <xf numFmtId="0" fontId="29" fillId="0" borderId="218" xfId="49" applyFont="1" applyBorder="1" applyAlignment="1">
      <alignment horizontal="center"/>
    </xf>
    <xf numFmtId="0" fontId="42" fillId="0" borderId="49" xfId="0" applyFont="1" applyFill="1" applyBorder="1" applyAlignment="1">
      <alignment horizontal="left" vertical="center" wrapText="1"/>
    </xf>
    <xf numFmtId="0" fontId="42" fillId="48" borderId="49" xfId="0" applyFont="1" applyFill="1" applyBorder="1" applyAlignment="1">
      <alignment horizontal="left" vertical="center" wrapText="1"/>
    </xf>
    <xf numFmtId="0" fontId="42" fillId="0" borderId="28" xfId="0" applyFont="1" applyFill="1" applyBorder="1" applyAlignment="1">
      <alignment horizontal="left" vertical="center" wrapText="1"/>
    </xf>
    <xf numFmtId="44" fontId="28" fillId="25" borderId="212" xfId="47" applyNumberFormat="1" applyFont="1" applyFill="1" applyBorder="1" applyAlignment="1">
      <alignment vertical="center"/>
    </xf>
    <xf numFmtId="0" fontId="28" fillId="63" borderId="243" xfId="50" applyNumberFormat="1" applyFont="1" applyFill="1" applyBorder="1" applyAlignment="1">
      <alignment horizontal="right" vertical="center"/>
    </xf>
    <xf numFmtId="44" fontId="29" fillId="0" borderId="236" xfId="50" applyNumberFormat="1" applyFont="1" applyFill="1" applyBorder="1" applyAlignment="1">
      <alignment horizontal="center" vertical="center"/>
    </xf>
    <xf numFmtId="0" fontId="29" fillId="0" borderId="44" xfId="50" applyNumberFormat="1" applyFont="1" applyFill="1" applyBorder="1" applyAlignment="1">
      <alignment horizontal="center" vertical="center"/>
    </xf>
    <xf numFmtId="44" fontId="28" fillId="25" borderId="243" xfId="47" applyNumberFormat="1" applyFont="1" applyFill="1" applyBorder="1" applyAlignment="1">
      <alignment vertical="center"/>
    </xf>
    <xf numFmtId="44" fontId="28" fillId="25" borderId="155" xfId="47" applyNumberFormat="1" applyFont="1" applyFill="1" applyBorder="1" applyAlignment="1">
      <alignment horizontal="center" vertical="center"/>
    </xf>
    <xf numFmtId="44" fontId="28" fillId="25" borderId="212" xfId="47" applyNumberFormat="1" applyFont="1" applyFill="1" applyBorder="1" applyAlignment="1">
      <alignment horizontal="center" vertical="center"/>
    </xf>
    <xf numFmtId="44" fontId="29" fillId="0" borderId="236" xfId="50" applyNumberFormat="1" applyFont="1" applyBorder="1" applyAlignment="1">
      <alignment horizontal="center" vertical="center"/>
    </xf>
    <xf numFmtId="44" fontId="29" fillId="0" borderId="247" xfId="50" applyNumberFormat="1" applyFont="1" applyBorder="1" applyAlignment="1">
      <alignment horizontal="center" vertical="center"/>
    </xf>
    <xf numFmtId="44" fontId="28" fillId="25" borderId="244" xfId="47" applyNumberFormat="1" applyFont="1" applyFill="1" applyBorder="1" applyAlignment="1">
      <alignment vertical="center"/>
    </xf>
    <xf numFmtId="44" fontId="29" fillId="24" borderId="236" xfId="47" applyNumberFormat="1" applyFont="1" applyFill="1" applyBorder="1" applyAlignment="1">
      <alignment horizontal="center" vertical="center"/>
    </xf>
    <xf numFmtId="44" fontId="29" fillId="24" borderId="247" xfId="46" applyNumberFormat="1" applyFont="1" applyFill="1" applyBorder="1" applyAlignment="1">
      <alignment vertical="center"/>
    </xf>
    <xf numFmtId="44" fontId="29" fillId="24" borderId="236" xfId="46" applyNumberFormat="1" applyFont="1" applyFill="1" applyBorder="1" applyAlignment="1">
      <alignment vertical="center"/>
    </xf>
    <xf numFmtId="0" fontId="29" fillId="24" borderId="245" xfId="46" applyNumberFormat="1" applyFont="1" applyFill="1" applyBorder="1" applyAlignment="1">
      <alignment vertical="center"/>
    </xf>
    <xf numFmtId="0" fontId="29" fillId="24" borderId="214" xfId="46" applyNumberFormat="1" applyFont="1" applyFill="1" applyBorder="1" applyAlignment="1">
      <alignment vertical="center"/>
    </xf>
    <xf numFmtId="0" fontId="29" fillId="24" borderId="245" xfId="48" applyNumberFormat="1" applyFont="1" applyFill="1" applyBorder="1" applyAlignment="1">
      <alignment horizontal="center" vertical="center"/>
    </xf>
    <xf numFmtId="0" fontId="29" fillId="24" borderId="41" xfId="48" applyNumberFormat="1" applyFont="1" applyFill="1" applyBorder="1" applyAlignment="1">
      <alignment horizontal="center" vertical="center"/>
    </xf>
    <xf numFmtId="0" fontId="29" fillId="24" borderId="163" xfId="48" applyNumberFormat="1" applyFont="1" applyFill="1" applyBorder="1" applyAlignment="1">
      <alignment horizontal="center" vertical="center"/>
    </xf>
    <xf numFmtId="0" fontId="29" fillId="0" borderId="245" xfId="50" applyNumberFormat="1" applyFont="1" applyBorder="1" applyAlignment="1">
      <alignment horizontal="center" vertical="center"/>
    </xf>
    <xf numFmtId="0" fontId="29" fillId="0" borderId="214" xfId="50" applyNumberFormat="1" applyFont="1" applyBorder="1" applyAlignment="1">
      <alignment horizontal="center" vertical="center"/>
    </xf>
    <xf numFmtId="0" fontId="29" fillId="0" borderId="44" xfId="50" applyNumberFormat="1" applyFont="1" applyBorder="1" applyAlignment="1">
      <alignment horizontal="center" vertical="center"/>
    </xf>
    <xf numFmtId="0" fontId="29" fillId="24" borderId="245" xfId="47" applyNumberFormat="1" applyFont="1" applyFill="1" applyBorder="1" applyAlignment="1">
      <alignment horizontal="center" vertical="center"/>
    </xf>
    <xf numFmtId="0" fontId="29" fillId="24" borderId="214" xfId="47" applyNumberFormat="1" applyFont="1" applyFill="1" applyBorder="1" applyAlignment="1">
      <alignment horizontal="center" vertical="center"/>
    </xf>
    <xf numFmtId="44" fontId="29" fillId="24" borderId="236" xfId="64" applyFont="1" applyFill="1" applyBorder="1" applyAlignment="1">
      <alignment horizontal="center" vertical="center"/>
    </xf>
    <xf numFmtId="44" fontId="29" fillId="24" borderId="153" xfId="48" applyNumberFormat="1" applyFont="1" applyFill="1" applyBorder="1" applyAlignment="1">
      <alignment horizontal="center" vertical="center"/>
    </xf>
    <xf numFmtId="44" fontId="29" fillId="24" borderId="164" xfId="48" applyNumberFormat="1" applyFont="1" applyFill="1" applyBorder="1" applyAlignment="1">
      <alignment horizontal="center" vertical="center"/>
    </xf>
    <xf numFmtId="44" fontId="29" fillId="24" borderId="170" xfId="48" applyNumberFormat="1" applyFont="1" applyFill="1" applyBorder="1" applyAlignment="1">
      <alignment horizontal="center" vertical="center"/>
    </xf>
    <xf numFmtId="44" fontId="29" fillId="24" borderId="153" xfId="64" applyFont="1" applyFill="1" applyBorder="1" applyAlignment="1">
      <alignment horizontal="center" vertical="center"/>
    </xf>
    <xf numFmtId="44" fontId="29" fillId="24" borderId="149" xfId="64" applyFont="1" applyFill="1" applyBorder="1" applyAlignment="1">
      <alignment horizontal="center" vertical="center"/>
    </xf>
    <xf numFmtId="44" fontId="29" fillId="24" borderId="93" xfId="64" applyFont="1" applyFill="1" applyBorder="1" applyAlignment="1">
      <alignment horizontal="center" vertical="center"/>
    </xf>
    <xf numFmtId="0" fontId="29" fillId="24" borderId="245" xfId="64" applyNumberFormat="1" applyFont="1" applyFill="1" applyBorder="1" applyAlignment="1">
      <alignment horizontal="center" vertical="center"/>
    </xf>
    <xf numFmtId="0" fontId="29" fillId="24" borderId="214" xfId="64" applyNumberFormat="1" applyFont="1" applyFill="1" applyBorder="1" applyAlignment="1">
      <alignment horizontal="center" vertical="center"/>
    </xf>
    <xf numFmtId="0" fontId="29" fillId="24" borderId="214" xfId="46" applyNumberFormat="1" applyFont="1" applyFill="1" applyBorder="1" applyAlignment="1">
      <alignment horizontal="center" vertical="center"/>
    </xf>
    <xf numFmtId="177" fontId="33" fillId="0" borderId="103" xfId="0" applyNumberFormat="1" applyFont="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0" fontId="32" fillId="43" borderId="248" xfId="0" applyFont="1" applyFill="1" applyBorder="1" applyAlignment="1">
      <alignment horizontal="right" vertical="center"/>
    </xf>
    <xf numFmtId="1" fontId="32" fillId="46" borderId="153" xfId="0" applyNumberFormat="1" applyFont="1" applyFill="1" applyBorder="1" applyAlignment="1">
      <alignment horizontal="center" vertical="center"/>
    </xf>
    <xf numFmtId="1" fontId="33" fillId="72" borderId="153" xfId="0" applyNumberFormat="1" applyFont="1" applyFill="1" applyBorder="1" applyAlignment="1">
      <alignment horizontal="center" vertical="center"/>
    </xf>
    <xf numFmtId="177" fontId="33" fillId="0" borderId="263" xfId="0" applyNumberFormat="1" applyFont="1" applyBorder="1"/>
    <xf numFmtId="166" fontId="33" fillId="0" borderId="201" xfId="0" applyNumberFormat="1" applyFont="1" applyBorder="1"/>
    <xf numFmtId="166" fontId="33" fillId="0" borderId="257" xfId="0" applyNumberFormat="1" applyFont="1" applyBorder="1"/>
    <xf numFmtId="0" fontId="33" fillId="0" borderId="263" xfId="0" applyNumberFormat="1" applyFont="1" applyBorder="1"/>
    <xf numFmtId="166" fontId="33" fillId="0" borderId="87" xfId="0" applyNumberFormat="1" applyFont="1" applyBorder="1"/>
    <xf numFmtId="0" fontId="33" fillId="0" borderId="257" xfId="0" applyNumberFormat="1" applyFont="1" applyBorder="1"/>
    <xf numFmtId="166" fontId="33" fillId="0" borderId="257" xfId="65" applyFont="1" applyFill="1" applyBorder="1" applyAlignment="1" applyProtection="1"/>
    <xf numFmtId="0" fontId="33" fillId="42" borderId="257" xfId="0" applyFont="1" applyFill="1" applyBorder="1"/>
    <xf numFmtId="3" fontId="33" fillId="42" borderId="257" xfId="0" applyNumberFormat="1" applyFont="1" applyFill="1" applyBorder="1"/>
    <xf numFmtId="0" fontId="28" fillId="47" borderId="245" xfId="0" applyFont="1" applyFill="1" applyBorder="1" applyAlignment="1">
      <alignment vertical="center"/>
    </xf>
    <xf numFmtId="166" fontId="33" fillId="0" borderId="246" xfId="65" applyFont="1" applyFill="1" applyBorder="1" applyAlignment="1" applyProtection="1"/>
    <xf numFmtId="0" fontId="33" fillId="42" borderId="246" xfId="0" applyFont="1" applyFill="1" applyBorder="1"/>
    <xf numFmtId="0" fontId="28" fillId="47" borderId="255" xfId="0" applyFont="1" applyFill="1" applyBorder="1" applyAlignment="1">
      <alignment vertical="center"/>
    </xf>
    <xf numFmtId="0" fontId="28" fillId="47" borderId="199" xfId="0" applyFont="1" applyFill="1" applyBorder="1" applyAlignment="1">
      <alignment vertical="center"/>
    </xf>
    <xf numFmtId="166" fontId="33" fillId="0" borderId="264" xfId="65" applyFont="1" applyFill="1" applyBorder="1" applyAlignment="1" applyProtection="1"/>
    <xf numFmtId="3" fontId="33" fillId="42" borderId="264" xfId="0" applyNumberFormat="1" applyFont="1" applyFill="1" applyBorder="1"/>
    <xf numFmtId="1" fontId="33" fillId="42" borderId="265" xfId="0" applyNumberFormat="1" applyFont="1" applyFill="1" applyBorder="1" applyAlignment="1">
      <alignment horizontal="center" vertical="center"/>
    </xf>
    <xf numFmtId="43" fontId="33" fillId="42" borderId="87" xfId="0" applyNumberFormat="1" applyFont="1" applyFill="1" applyBorder="1"/>
    <xf numFmtId="0" fontId="28" fillId="43" borderId="266" xfId="0" applyFont="1" applyFill="1" applyBorder="1" applyAlignment="1">
      <alignment horizontal="center" vertical="center" wrapText="1"/>
    </xf>
    <xf numFmtId="0" fontId="28" fillId="43" borderId="35" xfId="0" applyFont="1" applyFill="1" applyBorder="1" applyAlignment="1">
      <alignment horizontal="center" vertical="center" wrapText="1"/>
    </xf>
    <xf numFmtId="0" fontId="28" fillId="43" borderId="10" xfId="0" applyFont="1" applyFill="1" applyBorder="1" applyAlignment="1">
      <alignment horizontal="center" vertical="center" wrapText="1"/>
    </xf>
    <xf numFmtId="0" fontId="32" fillId="42" borderId="0" xfId="0" applyFont="1" applyFill="1" applyProtection="1"/>
    <xf numFmtId="0" fontId="33" fillId="16" borderId="185" xfId="0" applyFont="1" applyFill="1" applyBorder="1" applyAlignment="1">
      <alignment horizontal="left" vertical="center"/>
    </xf>
    <xf numFmtId="0" fontId="32" fillId="0" borderId="202" xfId="0" applyFont="1" applyBorder="1" applyAlignment="1">
      <alignment vertical="center"/>
    </xf>
    <xf numFmtId="0" fontId="28" fillId="47" borderId="269" xfId="0" applyFont="1" applyFill="1" applyBorder="1" applyAlignment="1">
      <alignment vertical="center"/>
    </xf>
    <xf numFmtId="166" fontId="33" fillId="0" borderId="270" xfId="65" applyFont="1" applyFill="1" applyBorder="1" applyAlignment="1" applyProtection="1"/>
    <xf numFmtId="0" fontId="33" fillId="42" borderId="270" xfId="0" applyFont="1" applyFill="1" applyBorder="1"/>
    <xf numFmtId="43" fontId="33" fillId="42" borderId="270" xfId="0" applyNumberFormat="1" applyFont="1" applyFill="1" applyBorder="1"/>
    <xf numFmtId="0" fontId="28" fillId="47" borderId="272" xfId="0" applyFont="1" applyFill="1" applyBorder="1" applyAlignment="1">
      <alignment vertical="center"/>
    </xf>
    <xf numFmtId="3" fontId="33" fillId="42" borderId="267" xfId="0" applyNumberFormat="1" applyFont="1" applyFill="1" applyBorder="1"/>
    <xf numFmtId="43" fontId="33" fillId="42" borderId="267" xfId="0" applyNumberFormat="1" applyFont="1" applyFill="1" applyBorder="1"/>
    <xf numFmtId="166" fontId="33" fillId="0" borderId="267" xfId="65" applyFont="1" applyFill="1" applyBorder="1" applyAlignment="1" applyProtection="1"/>
    <xf numFmtId="0" fontId="33" fillId="42" borderId="267" xfId="0" applyFont="1" applyFill="1" applyBorder="1"/>
    <xf numFmtId="0" fontId="28" fillId="47" borderId="273" xfId="0" applyFont="1" applyFill="1" applyBorder="1" applyAlignment="1">
      <alignment vertical="center"/>
    </xf>
    <xf numFmtId="166" fontId="33" fillId="0" borderId="263" xfId="65" applyFont="1" applyFill="1" applyBorder="1" applyAlignment="1" applyProtection="1"/>
    <xf numFmtId="0" fontId="33" fillId="42" borderId="263" xfId="0" applyFont="1" applyFill="1" applyBorder="1"/>
    <xf numFmtId="0" fontId="28" fillId="47" borderId="274" xfId="0" applyFont="1" applyFill="1" applyBorder="1" applyAlignment="1">
      <alignment vertical="center"/>
    </xf>
    <xf numFmtId="166" fontId="33" fillId="0" borderId="275" xfId="65" applyFont="1" applyFill="1" applyBorder="1" applyAlignment="1" applyProtection="1"/>
    <xf numFmtId="0" fontId="33" fillId="42" borderId="275" xfId="0" applyFont="1" applyFill="1" applyBorder="1"/>
    <xf numFmtId="43" fontId="33" fillId="42" borderId="276" xfId="0" applyNumberFormat="1" applyFont="1" applyFill="1" applyBorder="1"/>
    <xf numFmtId="1" fontId="32" fillId="46" borderId="247" xfId="0" applyNumberFormat="1" applyFont="1" applyFill="1" applyBorder="1" applyAlignment="1">
      <alignment horizontal="center" vertical="center"/>
    </xf>
    <xf numFmtId="1" fontId="32" fillId="46" borderId="236" xfId="0" applyNumberFormat="1" applyFont="1" applyFill="1" applyBorder="1" applyAlignment="1">
      <alignment horizontal="center" vertical="center"/>
    </xf>
    <xf numFmtId="1" fontId="32" fillId="46" borderId="277" xfId="0" applyNumberFormat="1" applyFont="1" applyFill="1" applyBorder="1" applyAlignment="1">
      <alignment horizontal="center" vertical="center"/>
    </xf>
    <xf numFmtId="1" fontId="32" fillId="46" borderId="260" xfId="0" applyNumberFormat="1" applyFont="1" applyFill="1" applyBorder="1" applyAlignment="1">
      <alignment horizontal="center" vertical="center"/>
    </xf>
    <xf numFmtId="0" fontId="33" fillId="42" borderId="185" xfId="0" applyFont="1" applyFill="1" applyBorder="1"/>
    <xf numFmtId="0" fontId="28" fillId="43" borderId="278" xfId="0" applyFont="1" applyFill="1" applyBorder="1" applyAlignment="1">
      <alignment horizontal="center" vertical="center" wrapText="1"/>
    </xf>
    <xf numFmtId="166" fontId="33" fillId="0" borderId="265" xfId="65" applyFont="1" applyFill="1" applyBorder="1" applyAlignment="1" applyProtection="1"/>
    <xf numFmtId="0" fontId="28" fillId="43" borderId="279" xfId="0" applyFont="1" applyFill="1" applyBorder="1" applyAlignment="1">
      <alignment horizontal="center" vertical="center"/>
    </xf>
    <xf numFmtId="0" fontId="28" fillId="43" borderId="280" xfId="0" applyFont="1" applyFill="1" applyBorder="1" applyAlignment="1">
      <alignment horizontal="center" vertical="center" wrapText="1"/>
    </xf>
    <xf numFmtId="0" fontId="32" fillId="16" borderId="281" xfId="0" applyFont="1" applyFill="1" applyBorder="1" applyAlignment="1">
      <alignment vertical="center"/>
    </xf>
    <xf numFmtId="0" fontId="32" fillId="16" borderId="282" xfId="0" applyFont="1" applyFill="1" applyBorder="1"/>
    <xf numFmtId="0" fontId="32" fillId="16" borderId="283" xfId="0" applyFont="1" applyFill="1" applyBorder="1"/>
    <xf numFmtId="177" fontId="33" fillId="0" borderId="284" xfId="0" applyNumberFormat="1" applyFont="1" applyBorder="1"/>
    <xf numFmtId="0" fontId="33" fillId="16" borderId="285" xfId="0" applyFont="1" applyFill="1" applyBorder="1" applyAlignment="1">
      <alignment vertical="center"/>
    </xf>
    <xf numFmtId="0" fontId="33" fillId="43" borderId="254" xfId="0" applyFont="1" applyFill="1" applyBorder="1"/>
    <xf numFmtId="2" fontId="33" fillId="0" borderId="287" xfId="0" applyNumberFormat="1" applyFont="1" applyBorder="1"/>
    <xf numFmtId="0" fontId="33" fillId="16" borderId="255" xfId="0" applyFont="1" applyFill="1" applyBorder="1" applyAlignment="1">
      <alignment vertical="center"/>
    </xf>
    <xf numFmtId="2" fontId="32" fillId="0" borderId="290" xfId="0" applyNumberFormat="1" applyFont="1" applyBorder="1"/>
    <xf numFmtId="0" fontId="33" fillId="0" borderId="284" xfId="0" applyNumberFormat="1" applyFont="1" applyBorder="1"/>
    <xf numFmtId="166" fontId="33" fillId="0" borderId="284" xfId="0" applyNumberFormat="1" applyFont="1" applyBorder="1"/>
    <xf numFmtId="0" fontId="32" fillId="0" borderId="249" xfId="0" applyFont="1" applyBorder="1"/>
    <xf numFmtId="0" fontId="32" fillId="16" borderId="291" xfId="0" applyFont="1" applyFill="1" applyBorder="1"/>
    <xf numFmtId="0" fontId="33" fillId="0" borderId="185" xfId="0" applyFont="1" applyBorder="1"/>
    <xf numFmtId="0" fontId="32" fillId="16" borderId="295" xfId="0" applyFont="1" applyFill="1" applyBorder="1" applyAlignment="1">
      <alignment vertical="center"/>
    </xf>
    <xf numFmtId="0" fontId="32" fillId="16" borderId="296" xfId="0" applyFont="1" applyFill="1" applyBorder="1"/>
    <xf numFmtId="0" fontId="32" fillId="16" borderId="297" xfId="0" applyFont="1" applyFill="1" applyBorder="1"/>
    <xf numFmtId="175" fontId="33" fillId="0" borderId="298" xfId="0" applyNumberFormat="1" applyFont="1" applyBorder="1" applyAlignment="1">
      <alignment horizontal="center"/>
    </xf>
    <xf numFmtId="0" fontId="33" fillId="0" borderId="298" xfId="0" applyFont="1" applyBorder="1"/>
    <xf numFmtId="176" fontId="33" fillId="0" borderId="298" xfId="0" applyNumberFormat="1" applyFont="1" applyBorder="1"/>
    <xf numFmtId="166" fontId="33" fillId="0" borderId="298" xfId="0" applyNumberFormat="1" applyFont="1" applyBorder="1"/>
    <xf numFmtId="4" fontId="33" fillId="0" borderId="299" xfId="0" applyNumberFormat="1" applyFont="1" applyBorder="1"/>
    <xf numFmtId="0" fontId="33" fillId="43" borderId="254" xfId="0" applyFont="1" applyFill="1" applyBorder="1" applyAlignment="1">
      <alignment vertical="center"/>
    </xf>
    <xf numFmtId="0" fontId="33" fillId="43" borderId="268" xfId="0" applyFont="1" applyFill="1" applyBorder="1"/>
    <xf numFmtId="4" fontId="32" fillId="0" borderId="300" xfId="0" applyNumberFormat="1" applyFont="1" applyBorder="1"/>
    <xf numFmtId="0" fontId="33" fillId="0" borderId="185" xfId="0" applyFont="1" applyFill="1" applyBorder="1"/>
    <xf numFmtId="0" fontId="28" fillId="43" borderId="301" xfId="0" applyFont="1" applyFill="1" applyBorder="1" applyAlignment="1">
      <alignment horizontal="center" vertical="center"/>
    </xf>
    <xf numFmtId="0" fontId="28" fillId="43" borderId="302" xfId="0" applyFont="1" applyFill="1" applyBorder="1" applyAlignment="1">
      <alignment horizontal="center" vertical="center" wrapText="1"/>
    </xf>
    <xf numFmtId="0" fontId="32" fillId="16" borderId="303" xfId="0" applyFont="1" applyFill="1" applyBorder="1" applyAlignment="1">
      <alignment vertical="center"/>
    </xf>
    <xf numFmtId="0" fontId="32" fillId="16" borderId="304" xfId="0" applyFont="1" applyFill="1" applyBorder="1"/>
    <xf numFmtId="0" fontId="33" fillId="0" borderId="306" xfId="0" applyNumberFormat="1" applyFont="1" applyBorder="1"/>
    <xf numFmtId="0" fontId="33" fillId="43" borderId="307" xfId="0" applyFont="1" applyFill="1" applyBorder="1"/>
    <xf numFmtId="174" fontId="32" fillId="0" borderId="284" xfId="0" applyNumberFormat="1" applyFont="1" applyFill="1" applyBorder="1"/>
    <xf numFmtId="174" fontId="32" fillId="0" borderId="316" xfId="0" applyNumberFormat="1" applyFont="1" applyFill="1" applyBorder="1"/>
    <xf numFmtId="0" fontId="32" fillId="16" borderId="317" xfId="0" applyFont="1" applyFill="1" applyBorder="1" applyAlignment="1">
      <alignment vertical="center"/>
    </xf>
    <xf numFmtId="174" fontId="32" fillId="50" borderId="318" xfId="0" applyNumberFormat="1" applyFont="1" applyFill="1" applyBorder="1" applyAlignment="1"/>
    <xf numFmtId="174" fontId="32" fillId="68" borderId="319" xfId="0" applyNumberFormat="1" applyFont="1" applyFill="1" applyBorder="1"/>
    <xf numFmtId="174" fontId="32" fillId="61" borderId="322" xfId="0" applyNumberFormat="1" applyFont="1" applyFill="1" applyBorder="1"/>
    <xf numFmtId="174" fontId="32" fillId="52" borderId="322" xfId="0" applyNumberFormat="1" applyFont="1" applyFill="1" applyBorder="1" applyAlignment="1">
      <alignment vertical="center"/>
    </xf>
    <xf numFmtId="0" fontId="49" fillId="42" borderId="0" xfId="0" applyFont="1" applyFill="1" applyProtection="1"/>
    <xf numFmtId="0" fontId="50" fillId="16" borderId="105" xfId="0" applyFont="1" applyFill="1" applyBorder="1" applyAlignment="1">
      <alignment vertical="center"/>
    </xf>
    <xf numFmtId="174" fontId="50" fillId="0" borderId="33" xfId="0" applyNumberFormat="1" applyFont="1" applyFill="1" applyBorder="1" applyAlignment="1">
      <alignment horizontal="right"/>
    </xf>
    <xf numFmtId="166" fontId="50" fillId="0" borderId="33" xfId="0" applyNumberFormat="1" applyFont="1" applyFill="1" applyBorder="1" applyAlignment="1">
      <alignment horizontal="center"/>
    </xf>
    <xf numFmtId="174" fontId="50" fillId="0" borderId="103" xfId="0" applyNumberFormat="1" applyFont="1" applyFill="1" applyBorder="1"/>
    <xf numFmtId="174" fontId="50" fillId="0" borderId="104" xfId="0" applyNumberFormat="1" applyFont="1" applyFill="1" applyBorder="1"/>
    <xf numFmtId="0" fontId="49" fillId="42" borderId="35" xfId="0" applyFont="1" applyFill="1" applyBorder="1" applyProtection="1"/>
    <xf numFmtId="174" fontId="52" fillId="0" borderId="33" xfId="0" applyNumberFormat="1" applyFont="1" applyFill="1" applyBorder="1" applyAlignment="1">
      <alignment horizontal="right"/>
    </xf>
    <xf numFmtId="166" fontId="52" fillId="0" borderId="33" xfId="0" applyNumberFormat="1" applyFont="1" applyFill="1" applyBorder="1" applyAlignment="1">
      <alignment horizontal="center"/>
    </xf>
    <xf numFmtId="0" fontId="53" fillId="0" borderId="0" xfId="0" applyFont="1"/>
    <xf numFmtId="174" fontId="32" fillId="70" borderId="319" xfId="0" applyNumberFormat="1" applyFont="1" applyFill="1" applyBorder="1"/>
    <xf numFmtId="1" fontId="33" fillId="72" borderId="322" xfId="0" applyNumberFormat="1" applyFont="1" applyFill="1" applyBorder="1" applyAlignment="1">
      <alignment horizontal="center" vertical="center"/>
    </xf>
    <xf numFmtId="1" fontId="33" fillId="72" borderId="325" xfId="0" applyNumberFormat="1" applyFont="1" applyFill="1" applyBorder="1" applyAlignment="1">
      <alignment horizontal="center" vertical="center"/>
    </xf>
    <xf numFmtId="1" fontId="33" fillId="41" borderId="322" xfId="0" applyNumberFormat="1" applyFont="1" applyFill="1" applyBorder="1" applyAlignment="1">
      <alignment horizontal="center" vertical="center"/>
    </xf>
    <xf numFmtId="1" fontId="33" fillId="41" borderId="325" xfId="0" applyNumberFormat="1" applyFont="1" applyFill="1" applyBorder="1" applyAlignment="1">
      <alignment horizontal="center" vertical="center"/>
    </xf>
    <xf numFmtId="1" fontId="0" fillId="0" borderId="0" xfId="0" applyNumberFormat="1"/>
    <xf numFmtId="3" fontId="33" fillId="42" borderId="103" xfId="0" applyNumberFormat="1" applyFont="1" applyFill="1" applyBorder="1"/>
    <xf numFmtId="174" fontId="33" fillId="0" borderId="336" xfId="0" applyNumberFormat="1" applyFont="1" applyFill="1" applyBorder="1"/>
    <xf numFmtId="174" fontId="33" fillId="0" borderId="316" xfId="0" applyNumberFormat="1" applyFont="1" applyFill="1" applyBorder="1"/>
    <xf numFmtId="0" fontId="51" fillId="16" borderId="317" xfId="0" applyFont="1" applyFill="1" applyBorder="1" applyAlignment="1">
      <alignment vertical="center"/>
    </xf>
    <xf numFmtId="174" fontId="52" fillId="0" borderId="336" xfId="0" applyNumberFormat="1" applyFont="1" applyFill="1" applyBorder="1"/>
    <xf numFmtId="174" fontId="52" fillId="0" borderId="316" xfId="0" applyNumberFormat="1" applyFont="1" applyFill="1" applyBorder="1"/>
    <xf numFmtId="174" fontId="32" fillId="68" borderId="318" xfId="0" applyNumberFormat="1" applyFont="1" applyFill="1" applyBorder="1" applyAlignment="1"/>
    <xf numFmtId="174" fontId="32" fillId="61" borderId="322" xfId="0" applyNumberFormat="1" applyFont="1" applyFill="1" applyBorder="1" applyAlignment="1">
      <alignment vertical="center"/>
    </xf>
    <xf numFmtId="0" fontId="32" fillId="16" borderId="345" xfId="0" applyFont="1" applyFill="1" applyBorder="1" applyAlignment="1">
      <alignment vertical="center"/>
    </xf>
    <xf numFmtId="174" fontId="33" fillId="0" borderId="346" xfId="0" applyNumberFormat="1" applyFont="1" applyFill="1" applyBorder="1"/>
    <xf numFmtId="174" fontId="33" fillId="0" borderId="347" xfId="0" applyNumberFormat="1" applyFont="1" applyFill="1" applyBorder="1"/>
    <xf numFmtId="174" fontId="32" fillId="50" borderId="325" xfId="0" applyNumberFormat="1" applyFont="1" applyFill="1" applyBorder="1" applyAlignment="1">
      <alignment vertical="center"/>
    </xf>
    <xf numFmtId="174" fontId="32" fillId="66" borderId="322" xfId="0" applyNumberFormat="1" applyFont="1" applyFill="1" applyBorder="1"/>
    <xf numFmtId="174" fontId="32" fillId="69" borderId="322" xfId="0" applyNumberFormat="1" applyFont="1" applyFill="1" applyBorder="1"/>
    <xf numFmtId="174" fontId="32" fillId="70" borderId="322" xfId="0" applyNumberFormat="1" applyFont="1" applyFill="1" applyBorder="1"/>
    <xf numFmtId="174" fontId="32" fillId="50" borderId="325" xfId="0" applyNumberFormat="1" applyFont="1" applyFill="1" applyBorder="1" applyAlignment="1"/>
    <xf numFmtId="174" fontId="33" fillId="0" borderId="348" xfId="0" applyNumberFormat="1" applyFont="1" applyFill="1" applyBorder="1"/>
    <xf numFmtId="174" fontId="33" fillId="0" borderId="349" xfId="0" applyNumberFormat="1" applyFont="1" applyFill="1" applyBorder="1"/>
    <xf numFmtId="0" fontId="32" fillId="16" borderId="350" xfId="0" applyFont="1" applyFill="1" applyBorder="1" applyAlignment="1">
      <alignment vertical="center"/>
    </xf>
    <xf numFmtId="0" fontId="32" fillId="16" borderId="351" xfId="0" applyFont="1" applyFill="1" applyBorder="1" applyAlignment="1">
      <alignment vertical="center"/>
    </xf>
    <xf numFmtId="174" fontId="33" fillId="0" borderId="352" xfId="0" applyNumberFormat="1" applyFont="1" applyFill="1" applyBorder="1"/>
    <xf numFmtId="174" fontId="33" fillId="0" borderId="353" xfId="0" applyNumberFormat="1" applyFont="1" applyFill="1" applyBorder="1"/>
    <xf numFmtId="174" fontId="32" fillId="50" borderId="356" xfId="0" applyNumberFormat="1" applyFont="1" applyFill="1" applyBorder="1" applyAlignment="1"/>
    <xf numFmtId="174" fontId="32" fillId="70" borderId="358" xfId="0" applyNumberFormat="1" applyFont="1" applyFill="1" applyBorder="1"/>
    <xf numFmtId="1" fontId="33" fillId="72" borderId="356" xfId="0" applyNumberFormat="1" applyFont="1" applyFill="1" applyBorder="1" applyAlignment="1">
      <alignment horizontal="center" vertical="center"/>
    </xf>
    <xf numFmtId="174" fontId="32" fillId="51" borderId="356" xfId="0" applyNumberFormat="1" applyFont="1" applyFill="1" applyBorder="1"/>
    <xf numFmtId="1" fontId="32" fillId="51" borderId="356" xfId="0" applyNumberFormat="1" applyFont="1" applyFill="1" applyBorder="1" applyAlignment="1">
      <alignment horizontal="center" vertical="center"/>
    </xf>
    <xf numFmtId="0" fontId="35" fillId="40" borderId="87" xfId="47" applyFont="1" applyFill="1" applyBorder="1" applyAlignment="1">
      <alignment horizontal="center" vertical="center" wrapText="1"/>
    </xf>
    <xf numFmtId="0" fontId="35" fillId="40" borderId="91" xfId="47" applyFont="1" applyFill="1" applyBorder="1" applyAlignment="1">
      <alignment horizontal="center" vertical="center" wrapText="1"/>
    </xf>
    <xf numFmtId="0" fontId="35" fillId="40" borderId="153" xfId="47" applyFont="1" applyFill="1" applyBorder="1" applyAlignment="1">
      <alignment horizontal="center" vertical="center" wrapText="1"/>
    </xf>
    <xf numFmtId="0" fontId="35" fillId="40" borderId="148" xfId="47" applyFont="1" applyFill="1" applyBorder="1" applyAlignment="1">
      <alignment horizontal="center" vertical="center" wrapText="1"/>
    </xf>
    <xf numFmtId="0" fontId="35" fillId="40" borderId="97" xfId="47" applyFont="1" applyFill="1" applyBorder="1" applyAlignment="1">
      <alignment horizontal="center" vertical="center" wrapText="1"/>
    </xf>
    <xf numFmtId="0" fontId="35" fillId="40" borderId="151" xfId="47" applyFont="1" applyFill="1" applyBorder="1" applyAlignment="1">
      <alignment horizontal="center" vertical="center" wrapText="1"/>
    </xf>
    <xf numFmtId="0" fontId="35" fillId="40" borderId="71" xfId="47" applyFont="1" applyFill="1" applyBorder="1" applyAlignment="1">
      <alignment horizontal="center" vertical="center" wrapText="1"/>
    </xf>
    <xf numFmtId="0" fontId="35" fillId="40" borderId="96" xfId="47" applyFont="1" applyFill="1" applyBorder="1" applyAlignment="1">
      <alignment horizontal="center" vertical="center" wrapText="1"/>
    </xf>
    <xf numFmtId="0" fontId="42" fillId="0" borderId="20" xfId="0" applyFont="1" applyFill="1" applyBorder="1" applyAlignment="1">
      <alignment horizontal="center" vertical="center" wrapText="1"/>
    </xf>
    <xf numFmtId="0" fontId="42" fillId="0" borderId="22" xfId="0" applyFont="1" applyFill="1" applyBorder="1" applyAlignment="1">
      <alignment horizontal="center" vertical="center" wrapText="1"/>
    </xf>
    <xf numFmtId="0" fontId="42" fillId="0" borderId="34" xfId="0" applyFont="1" applyFill="1" applyBorder="1" applyAlignment="1">
      <alignment horizontal="center" vertical="center" wrapText="1"/>
    </xf>
    <xf numFmtId="0" fontId="42" fillId="0" borderId="35" xfId="0" applyFont="1" applyFill="1" applyBorder="1" applyAlignment="1">
      <alignment horizontal="center" vertical="center" wrapText="1"/>
    </xf>
    <xf numFmtId="0" fontId="42" fillId="0" borderId="34" xfId="0" applyFont="1" applyFill="1" applyBorder="1" applyAlignment="1">
      <alignment horizontal="left" vertical="center" wrapText="1"/>
    </xf>
    <xf numFmtId="0" fontId="42" fillId="0" borderId="35" xfId="0" applyFont="1" applyFill="1" applyBorder="1" applyAlignment="1">
      <alignment horizontal="left" vertical="center" wrapText="1"/>
    </xf>
    <xf numFmtId="0" fontId="42" fillId="0" borderId="40" xfId="0" applyFont="1" applyFill="1" applyBorder="1" applyAlignment="1">
      <alignment horizontal="left" vertical="center" wrapText="1"/>
    </xf>
    <xf numFmtId="0" fontId="42" fillId="0" borderId="14" xfId="0" applyFont="1" applyFill="1" applyBorder="1" applyAlignment="1">
      <alignment horizontal="left" vertical="center" wrapText="1"/>
    </xf>
    <xf numFmtId="0" fontId="38" fillId="44" borderId="38" xfId="0" applyFont="1" applyFill="1" applyBorder="1" applyAlignment="1">
      <alignment horizontal="center" vertical="center" wrapText="1"/>
    </xf>
    <xf numFmtId="0" fontId="38" fillId="44" borderId="39" xfId="0" applyFont="1" applyFill="1" applyBorder="1" applyAlignment="1">
      <alignment horizontal="center" vertical="center" wrapText="1"/>
    </xf>
    <xf numFmtId="0" fontId="38" fillId="44" borderId="44" xfId="0" applyFont="1" applyFill="1" applyBorder="1" applyAlignment="1">
      <alignment horizontal="center" vertical="center" wrapText="1"/>
    </xf>
    <xf numFmtId="0" fontId="38" fillId="44" borderId="51" xfId="0" applyFont="1" applyFill="1" applyBorder="1" applyAlignment="1">
      <alignment horizontal="center" vertical="center" wrapText="1"/>
    </xf>
    <xf numFmtId="0" fontId="42" fillId="0" borderId="41" xfId="0" applyFont="1" applyFill="1" applyBorder="1" applyAlignment="1">
      <alignment horizontal="left" vertical="center" wrapText="1"/>
    </xf>
    <xf numFmtId="0" fontId="42" fillId="0" borderId="49" xfId="0" applyFont="1" applyFill="1" applyBorder="1" applyAlignment="1">
      <alignment horizontal="left" vertical="center" wrapText="1"/>
    </xf>
    <xf numFmtId="0" fontId="42" fillId="0" borderId="28" xfId="0" applyFont="1" applyFill="1" applyBorder="1" applyAlignment="1">
      <alignment horizontal="left" vertical="center" wrapText="1"/>
    </xf>
    <xf numFmtId="0" fontId="44" fillId="0" borderId="50" xfId="0" applyFont="1" applyFill="1" applyBorder="1" applyAlignment="1">
      <alignment horizontal="left" vertical="center" wrapText="1"/>
    </xf>
    <xf numFmtId="0" fontId="42" fillId="0" borderId="49" xfId="0" applyFont="1" applyFill="1" applyBorder="1" applyAlignment="1">
      <alignment horizontal="justify" vertical="center" wrapText="1"/>
    </xf>
    <xf numFmtId="0" fontId="44" fillId="0" borderId="30" xfId="0" applyFont="1" applyFill="1" applyBorder="1" applyAlignment="1">
      <alignment horizontal="left" vertical="center" wrapText="1"/>
    </xf>
    <xf numFmtId="0" fontId="44" fillId="0" borderId="42" xfId="0" applyFont="1" applyFill="1" applyBorder="1" applyAlignment="1">
      <alignment horizontal="left" vertical="center" wrapText="1"/>
    </xf>
    <xf numFmtId="0" fontId="29" fillId="0" borderId="155" xfId="46" applyNumberFormat="1" applyFont="1" applyFill="1" applyBorder="1" applyAlignment="1">
      <alignment horizontal="center" vertical="center"/>
    </xf>
    <xf numFmtId="0" fontId="29" fillId="0" borderId="174" xfId="46" applyNumberFormat="1" applyFont="1" applyFill="1" applyBorder="1" applyAlignment="1">
      <alignment horizontal="center" vertical="center"/>
    </xf>
    <xf numFmtId="0" fontId="35" fillId="40" borderId="178" xfId="47" applyFont="1" applyFill="1" applyBorder="1" applyAlignment="1">
      <alignment horizontal="center" vertical="center" wrapText="1"/>
    </xf>
    <xf numFmtId="0" fontId="35" fillId="40" borderId="144" xfId="47" applyFont="1" applyFill="1" applyBorder="1" applyAlignment="1">
      <alignment horizontal="center" vertical="center" wrapText="1"/>
    </xf>
    <xf numFmtId="0" fontId="29" fillId="0" borderId="240" xfId="46" applyNumberFormat="1" applyFont="1" applyFill="1" applyBorder="1" applyAlignment="1">
      <alignment horizontal="center" vertical="center"/>
    </xf>
    <xf numFmtId="0" fontId="29" fillId="0" borderId="149" xfId="46" applyNumberFormat="1" applyFont="1" applyFill="1" applyBorder="1" applyAlignment="1">
      <alignment horizontal="center" vertical="center"/>
    </xf>
    <xf numFmtId="0" fontId="29" fillId="0" borderId="262" xfId="46" applyNumberFormat="1" applyFont="1" applyFill="1" applyBorder="1" applyAlignment="1">
      <alignment horizontal="center" vertical="center"/>
    </xf>
    <xf numFmtId="0" fontId="29" fillId="0" borderId="173" xfId="46" applyNumberFormat="1" applyFont="1" applyFill="1" applyBorder="1" applyAlignment="1">
      <alignment horizontal="center" vertical="center"/>
    </xf>
    <xf numFmtId="0" fontId="35" fillId="40" borderId="95" xfId="47" applyFont="1" applyFill="1" applyBorder="1" applyAlignment="1">
      <alignment horizontal="center" vertical="center" wrapText="1"/>
    </xf>
    <xf numFmtId="0" fontId="35" fillId="40" borderId="149" xfId="47" applyFont="1" applyFill="1" applyBorder="1" applyAlignment="1">
      <alignment horizontal="center" vertical="center" wrapText="1"/>
    </xf>
    <xf numFmtId="0" fontId="35" fillId="40" borderId="90" xfId="47" applyFont="1" applyFill="1" applyBorder="1" applyAlignment="1">
      <alignment horizontal="center" vertical="center" wrapText="1"/>
    </xf>
    <xf numFmtId="0" fontId="32" fillId="40" borderId="88" xfId="47" applyFont="1" applyFill="1" applyBorder="1" applyAlignment="1">
      <alignment horizontal="center" vertical="center" wrapText="1"/>
    </xf>
    <xf numFmtId="0" fontId="32" fillId="40" borderId="41" xfId="47" applyFont="1" applyFill="1" applyBorder="1" applyAlignment="1">
      <alignment horizontal="center" vertical="center" wrapText="1"/>
    </xf>
    <xf numFmtId="174" fontId="35" fillId="40" borderId="89" xfId="47" applyNumberFormat="1" applyFont="1" applyFill="1" applyBorder="1" applyAlignment="1">
      <alignment horizontal="center" vertical="center" wrapText="1"/>
    </xf>
    <xf numFmtId="0" fontId="35" fillId="40" borderId="12" xfId="47" applyFont="1" applyFill="1" applyBorder="1" applyAlignment="1">
      <alignment horizontal="center" vertical="center" wrapText="1"/>
    </xf>
    <xf numFmtId="0" fontId="35" fillId="40" borderId="177" xfId="47" applyFont="1" applyFill="1" applyBorder="1" applyAlignment="1">
      <alignment horizontal="center" vertical="center" wrapText="1"/>
    </xf>
    <xf numFmtId="0" fontId="28" fillId="25" borderId="71" xfId="47" applyFont="1" applyFill="1" applyBorder="1" applyAlignment="1">
      <alignment horizontal="left" vertical="center"/>
    </xf>
    <xf numFmtId="0" fontId="28" fillId="25" borderId="212" xfId="47" applyFont="1" applyFill="1" applyBorder="1" applyAlignment="1">
      <alignment horizontal="left" vertical="center"/>
    </xf>
    <xf numFmtId="0" fontId="28" fillId="25" borderId="159" xfId="47" applyFont="1" applyFill="1" applyBorder="1" applyAlignment="1">
      <alignment horizontal="left" vertical="center"/>
    </xf>
    <xf numFmtId="0" fontId="28" fillId="25" borderId="197" xfId="47" applyFont="1" applyFill="1" applyBorder="1" applyAlignment="1">
      <alignment horizontal="left" vertical="center"/>
    </xf>
    <xf numFmtId="0" fontId="29" fillId="24" borderId="159" xfId="47" applyFont="1" applyFill="1" applyBorder="1" applyAlignment="1">
      <alignment horizontal="center" vertical="center"/>
    </xf>
    <xf numFmtId="0" fontId="29" fillId="24" borderId="145" xfId="47" applyFont="1" applyFill="1" applyBorder="1" applyAlignment="1">
      <alignment horizontal="center" vertical="center"/>
    </xf>
    <xf numFmtId="0" fontId="29" fillId="24" borderId="243" xfId="47" applyFont="1" applyFill="1" applyBorder="1" applyAlignment="1">
      <alignment horizontal="center" vertical="center"/>
    </xf>
    <xf numFmtId="0" fontId="29" fillId="24" borderId="146" xfId="47" applyFont="1" applyFill="1" applyBorder="1" applyAlignment="1">
      <alignment horizontal="center" vertical="center"/>
    </xf>
    <xf numFmtId="0" fontId="34" fillId="40" borderId="81" xfId="33" applyFont="1" applyFill="1" applyBorder="1" applyAlignment="1">
      <alignment horizontal="center" vertical="center" wrapText="1"/>
    </xf>
    <xf numFmtId="0" fontId="34" fillId="40" borderId="82" xfId="33" applyFont="1" applyFill="1" applyBorder="1" applyAlignment="1">
      <alignment horizontal="center" vertical="center" wrapText="1"/>
    </xf>
    <xf numFmtId="0" fontId="34" fillId="40" borderId="143" xfId="33" applyFont="1" applyFill="1" applyBorder="1" applyAlignment="1">
      <alignment horizontal="center" vertical="center" wrapText="1"/>
    </xf>
    <xf numFmtId="0" fontId="34" fillId="40" borderId="178" xfId="33" applyFont="1" applyFill="1" applyBorder="1" applyAlignment="1">
      <alignment horizontal="center" vertical="center" wrapText="1"/>
    </xf>
    <xf numFmtId="0" fontId="34" fillId="40" borderId="83" xfId="33" applyFont="1" applyFill="1" applyBorder="1" applyAlignment="1">
      <alignment horizontal="center" vertical="center" wrapText="1"/>
    </xf>
    <xf numFmtId="0" fontId="32" fillId="40" borderId="80" xfId="33" applyFont="1" applyFill="1" applyBorder="1" applyAlignment="1">
      <alignment horizontal="center" vertical="center"/>
    </xf>
    <xf numFmtId="0" fontId="32" fillId="40" borderId="0" xfId="33" applyFont="1" applyFill="1" applyBorder="1" applyAlignment="1">
      <alignment horizontal="center" vertical="center"/>
    </xf>
    <xf numFmtId="0" fontId="32" fillId="40" borderId="35" xfId="33" applyFont="1" applyFill="1" applyBorder="1" applyAlignment="1">
      <alignment horizontal="center" vertical="center"/>
    </xf>
    <xf numFmtId="0" fontId="28" fillId="24" borderId="102" xfId="33" applyFont="1" applyFill="1" applyBorder="1" applyAlignment="1">
      <alignment horizontal="center" vertical="center" wrapText="1"/>
    </xf>
    <xf numFmtId="0" fontId="28" fillId="24" borderId="0" xfId="33" applyFont="1" applyFill="1" applyBorder="1" applyAlignment="1">
      <alignment horizontal="center" vertical="center" wrapText="1"/>
    </xf>
    <xf numFmtId="0" fontId="28" fillId="24" borderId="35" xfId="33" applyFont="1" applyFill="1" applyBorder="1" applyAlignment="1">
      <alignment horizontal="center" vertical="center" wrapText="1"/>
    </xf>
    <xf numFmtId="0" fontId="32" fillId="53" borderId="88" xfId="47" applyFont="1" applyFill="1" applyBorder="1" applyAlignment="1">
      <alignment horizontal="center" vertical="center" wrapText="1"/>
    </xf>
    <xf numFmtId="0" fontId="32" fillId="53" borderId="163" xfId="47" applyFont="1" applyFill="1" applyBorder="1" applyAlignment="1">
      <alignment horizontal="center" vertical="center" wrapText="1"/>
    </xf>
    <xf numFmtId="0" fontId="35" fillId="40" borderId="167" xfId="47" applyFont="1" applyFill="1" applyBorder="1" applyAlignment="1">
      <alignment horizontal="center" vertical="center" wrapText="1"/>
    </xf>
    <xf numFmtId="0" fontId="35" fillId="40" borderId="147" xfId="47" applyFont="1" applyFill="1" applyBorder="1" applyAlignment="1">
      <alignment horizontal="center" vertical="center" wrapText="1"/>
    </xf>
    <xf numFmtId="0" fontId="39" fillId="40" borderId="100" xfId="47" applyFont="1" applyFill="1" applyBorder="1" applyAlignment="1">
      <alignment horizontal="center" vertical="center" wrapText="1"/>
    </xf>
    <xf numFmtId="0" fontId="35" fillId="40" borderId="242" xfId="47" applyFont="1" applyFill="1" applyBorder="1" applyAlignment="1">
      <alignment horizontal="center" vertical="center" wrapText="1"/>
    </xf>
    <xf numFmtId="0" fontId="35" fillId="40" borderId="241" xfId="47" applyFont="1" applyFill="1" applyBorder="1" applyAlignment="1">
      <alignment horizontal="center" vertical="center" wrapText="1"/>
    </xf>
    <xf numFmtId="0" fontId="28" fillId="25" borderId="145" xfId="47" applyFont="1" applyFill="1" applyBorder="1" applyAlignment="1">
      <alignment horizontal="left" vertical="center"/>
    </xf>
    <xf numFmtId="0" fontId="28" fillId="25" borderId="146" xfId="47" applyFont="1" applyFill="1" applyBorder="1" applyAlignment="1">
      <alignment horizontal="left" vertical="center"/>
    </xf>
    <xf numFmtId="0" fontId="32" fillId="40" borderId="163" xfId="47" applyFont="1" applyFill="1" applyBorder="1" applyAlignment="1">
      <alignment horizontal="center" vertical="center" wrapText="1"/>
    </xf>
    <xf numFmtId="0" fontId="28" fillId="25" borderId="70" xfId="47" applyFont="1" applyFill="1" applyBorder="1" applyAlignment="1">
      <alignment horizontal="left" vertical="center"/>
    </xf>
    <xf numFmtId="0" fontId="28" fillId="25" borderId="161" xfId="47" applyFont="1" applyFill="1" applyBorder="1" applyAlignment="1">
      <alignment horizontal="left" vertical="center"/>
    </xf>
    <xf numFmtId="0" fontId="29" fillId="24" borderId="202" xfId="47" applyFont="1" applyFill="1" applyBorder="1" applyAlignment="1">
      <alignment horizontal="center" vertical="center"/>
    </xf>
    <xf numFmtId="0" fontId="29" fillId="24" borderId="253" xfId="47" applyFont="1" applyFill="1" applyBorder="1" applyAlignment="1">
      <alignment horizontal="center" vertical="center"/>
    </xf>
    <xf numFmtId="0" fontId="35" fillId="40" borderId="134" xfId="47" applyFont="1" applyFill="1" applyBorder="1" applyAlignment="1">
      <alignment horizontal="center" vertical="center" wrapText="1"/>
    </xf>
    <xf numFmtId="0" fontId="28" fillId="25" borderId="223" xfId="47" applyFont="1" applyFill="1" applyBorder="1" applyAlignment="1">
      <alignment horizontal="left" vertical="center"/>
    </xf>
    <xf numFmtId="0" fontId="28" fillId="25" borderId="21" xfId="47" applyFont="1" applyFill="1" applyBorder="1" applyAlignment="1">
      <alignment horizontal="left" vertical="center"/>
    </xf>
    <xf numFmtId="0" fontId="28" fillId="0" borderId="159" xfId="47" applyFont="1" applyFill="1" applyBorder="1" applyAlignment="1">
      <alignment horizontal="center" vertical="center"/>
    </xf>
    <xf numFmtId="0" fontId="28" fillId="0" borderId="197" xfId="47" applyFont="1" applyFill="1" applyBorder="1" applyAlignment="1">
      <alignment horizontal="center" vertical="center"/>
    </xf>
    <xf numFmtId="0" fontId="28" fillId="0" borderId="243" xfId="47" applyFont="1" applyFill="1" applyBorder="1" applyAlignment="1">
      <alignment horizontal="center" vertical="center"/>
    </xf>
    <xf numFmtId="0" fontId="28" fillId="0" borderId="198" xfId="47" applyFont="1" applyFill="1" applyBorder="1" applyAlignment="1">
      <alignment horizontal="center" vertical="center"/>
    </xf>
    <xf numFmtId="0" fontId="29" fillId="0" borderId="135" xfId="46" applyNumberFormat="1" applyFont="1" applyFill="1" applyBorder="1" applyAlignment="1">
      <alignment horizontal="center" vertical="center"/>
    </xf>
    <xf numFmtId="0" fontId="29" fillId="0" borderId="136" xfId="33" applyFont="1" applyFill="1" applyBorder="1" applyAlignment="1">
      <alignment horizontal="center" vertical="center"/>
    </xf>
    <xf numFmtId="0" fontId="29" fillId="0" borderId="72" xfId="33" applyFont="1" applyFill="1" applyBorder="1" applyAlignment="1">
      <alignment horizontal="center" vertical="center"/>
    </xf>
    <xf numFmtId="0" fontId="29" fillId="0" borderId="156" xfId="46" applyNumberFormat="1" applyFont="1" applyFill="1" applyBorder="1" applyAlignment="1">
      <alignment horizontal="center" vertical="center"/>
    </xf>
    <xf numFmtId="0" fontId="29" fillId="0" borderId="155" xfId="33" applyFont="1" applyFill="1" applyBorder="1" applyAlignment="1">
      <alignment horizontal="center" vertical="center"/>
    </xf>
    <xf numFmtId="0" fontId="29" fillId="0" borderId="174" xfId="33" applyFont="1" applyFill="1" applyBorder="1" applyAlignment="1">
      <alignment horizontal="center" vertical="center"/>
    </xf>
    <xf numFmtId="0" fontId="29" fillId="0" borderId="172" xfId="46" applyNumberFormat="1" applyFont="1" applyFill="1" applyBorder="1" applyAlignment="1">
      <alignment horizontal="center" vertical="center"/>
    </xf>
    <xf numFmtId="0" fontId="29" fillId="0" borderId="0" xfId="46" applyNumberFormat="1" applyFont="1" applyFill="1" applyBorder="1" applyAlignment="1">
      <alignment horizontal="center" vertical="center"/>
    </xf>
    <xf numFmtId="0" fontId="29" fillId="0" borderId="95" xfId="46" applyNumberFormat="1" applyFont="1" applyFill="1" applyBorder="1" applyAlignment="1">
      <alignment horizontal="center" vertical="center"/>
    </xf>
    <xf numFmtId="0" fontId="29" fillId="0" borderId="150" xfId="33" applyFont="1" applyFill="1" applyBorder="1" applyAlignment="1">
      <alignment horizontal="center" vertical="center"/>
    </xf>
    <xf numFmtId="0" fontId="29" fillId="0" borderId="93" xfId="33" applyFont="1" applyFill="1" applyBorder="1" applyAlignment="1">
      <alignment horizontal="center" vertical="center"/>
    </xf>
    <xf numFmtId="0" fontId="28" fillId="0" borderId="159" xfId="33" applyFont="1" applyFill="1" applyBorder="1" applyAlignment="1">
      <alignment horizontal="center" vertical="center"/>
    </xf>
    <xf numFmtId="0" fontId="28" fillId="0" borderId="145" xfId="33" applyFont="1" applyFill="1" applyBorder="1" applyAlignment="1">
      <alignment horizontal="center" vertical="center"/>
    </xf>
    <xf numFmtId="0" fontId="28" fillId="0" borderId="243" xfId="33" applyFont="1" applyFill="1" applyBorder="1" applyAlignment="1">
      <alignment horizontal="center" vertical="center"/>
    </xf>
    <xf numFmtId="0" fontId="28" fillId="0" borderId="146" xfId="33" applyFont="1" applyFill="1" applyBorder="1" applyAlignment="1">
      <alignment horizontal="center" vertical="center"/>
    </xf>
    <xf numFmtId="0" fontId="28" fillId="57" borderId="159" xfId="47" applyFont="1" applyFill="1" applyBorder="1" applyAlignment="1">
      <alignment horizontal="right" vertical="center"/>
    </xf>
    <xf numFmtId="0" fontId="28" fillId="57" borderId="197" xfId="47" applyFont="1" applyFill="1" applyBorder="1" applyAlignment="1">
      <alignment horizontal="right" vertical="center"/>
    </xf>
    <xf numFmtId="174" fontId="28" fillId="57" borderId="159" xfId="47" applyNumberFormat="1" applyFont="1" applyFill="1" applyBorder="1" applyAlignment="1">
      <alignment horizontal="center" vertical="center"/>
    </xf>
    <xf numFmtId="174" fontId="28" fillId="57" borderId="198" xfId="47" applyNumberFormat="1" applyFont="1" applyFill="1" applyBorder="1" applyAlignment="1">
      <alignment horizontal="center" vertical="center"/>
    </xf>
    <xf numFmtId="174" fontId="28" fillId="57" borderId="197" xfId="47" applyNumberFormat="1" applyFont="1" applyFill="1" applyBorder="1" applyAlignment="1">
      <alignment horizontal="center" vertical="center"/>
    </xf>
    <xf numFmtId="0" fontId="35" fillId="40" borderId="166" xfId="47" applyFont="1" applyFill="1" applyBorder="1" applyAlignment="1">
      <alignment horizontal="center" vertical="center" wrapText="1"/>
    </xf>
    <xf numFmtId="0" fontId="35" fillId="40" borderId="171" xfId="47" applyFont="1" applyFill="1" applyBorder="1" applyAlignment="1">
      <alignment horizontal="center" vertical="center" wrapText="1"/>
    </xf>
    <xf numFmtId="0" fontId="35" fillId="40" borderId="179" xfId="47" applyFont="1" applyFill="1" applyBorder="1" applyAlignment="1">
      <alignment horizontal="center" vertical="center" wrapText="1"/>
    </xf>
    <xf numFmtId="0" fontId="35" fillId="40" borderId="142"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0" fontId="35" fillId="40" borderId="212" xfId="47" applyFont="1" applyFill="1" applyBorder="1" applyAlignment="1">
      <alignment horizontal="center" vertical="center" wrapText="1"/>
    </xf>
    <xf numFmtId="0" fontId="35" fillId="40" borderId="161" xfId="47" applyFont="1" applyFill="1" applyBorder="1" applyAlignment="1">
      <alignment horizontal="center" vertical="center" wrapText="1"/>
    </xf>
    <xf numFmtId="0" fontId="47" fillId="0" borderId="217" xfId="0" applyFont="1" applyFill="1" applyBorder="1" applyAlignment="1">
      <alignment horizontal="center" vertical="center"/>
    </xf>
    <xf numFmtId="0" fontId="47" fillId="0" borderId="178" xfId="0" applyFont="1" applyFill="1" applyBorder="1" applyAlignment="1">
      <alignment horizontal="center" vertical="center"/>
    </xf>
    <xf numFmtId="0" fontId="32" fillId="40" borderId="218" xfId="47" applyFont="1" applyFill="1" applyBorder="1" applyAlignment="1">
      <alignment horizontal="center" vertical="center" wrapText="1"/>
    </xf>
    <xf numFmtId="0" fontId="35" fillId="40" borderId="58" xfId="47" applyFont="1" applyFill="1" applyBorder="1" applyAlignment="1">
      <alignment horizontal="center" vertical="center" wrapText="1"/>
    </xf>
    <xf numFmtId="0" fontId="39" fillId="40" borderId="219" xfId="47" applyFont="1" applyFill="1" applyBorder="1" applyAlignment="1">
      <alignment horizontal="center" vertical="center" wrapText="1"/>
    </xf>
    <xf numFmtId="0" fontId="35" fillId="40" borderId="150" xfId="47" applyFont="1" applyFill="1" applyBorder="1" applyAlignment="1">
      <alignment horizontal="center" vertical="center" wrapText="1"/>
    </xf>
    <xf numFmtId="0" fontId="35" fillId="40" borderId="93" xfId="47" applyFont="1" applyFill="1" applyBorder="1" applyAlignment="1">
      <alignment horizontal="center" vertical="center" wrapText="1"/>
    </xf>
    <xf numFmtId="0" fontId="35" fillId="40" borderId="206" xfId="47" applyFont="1" applyFill="1" applyBorder="1" applyAlignment="1">
      <alignment horizontal="center" vertical="center" wrapText="1"/>
    </xf>
    <xf numFmtId="0" fontId="35" fillId="40" borderId="213" xfId="47" applyFont="1" applyFill="1" applyBorder="1" applyAlignment="1">
      <alignment horizontal="center" vertical="center" wrapText="1"/>
    </xf>
    <xf numFmtId="0" fontId="28" fillId="60" borderId="159" xfId="47" applyFont="1" applyFill="1" applyBorder="1" applyAlignment="1">
      <alignment horizontal="right" vertical="center"/>
    </xf>
    <xf numFmtId="0" fontId="28" fillId="60" borderId="197" xfId="47" applyFont="1" applyFill="1" applyBorder="1" applyAlignment="1">
      <alignment horizontal="right" vertical="center"/>
    </xf>
    <xf numFmtId="0" fontId="28" fillId="60" borderId="198" xfId="47" applyFont="1" applyFill="1" applyBorder="1" applyAlignment="1">
      <alignment horizontal="right" vertical="center"/>
    </xf>
    <xf numFmtId="0" fontId="28" fillId="63" borderId="159" xfId="0" applyFont="1" applyFill="1" applyBorder="1" applyAlignment="1">
      <alignment horizontal="right"/>
    </xf>
    <xf numFmtId="0" fontId="28" fillId="63" borderId="197" xfId="0" applyFont="1" applyFill="1" applyBorder="1" applyAlignment="1">
      <alignment horizontal="right"/>
    </xf>
    <xf numFmtId="0" fontId="28" fillId="63" borderId="198" xfId="0" applyFont="1" applyFill="1" applyBorder="1" applyAlignment="1">
      <alignment horizontal="right"/>
    </xf>
    <xf numFmtId="174" fontId="28" fillId="25" borderId="159" xfId="47" applyNumberFormat="1" applyFont="1" applyFill="1" applyBorder="1" applyAlignment="1">
      <alignment horizontal="center" vertical="center"/>
    </xf>
    <xf numFmtId="174" fontId="28" fillId="25" borderId="198" xfId="47" applyNumberFormat="1" applyFont="1" applyFill="1" applyBorder="1" applyAlignment="1">
      <alignment horizontal="center" vertical="center"/>
    </xf>
    <xf numFmtId="0" fontId="34" fillId="40" borderId="216" xfId="33" applyFont="1" applyFill="1" applyBorder="1" applyAlignment="1">
      <alignment horizontal="center" vertical="center" wrapText="1"/>
    </xf>
    <xf numFmtId="0" fontId="34" fillId="40" borderId="217" xfId="33" applyFont="1" applyFill="1" applyBorder="1" applyAlignment="1">
      <alignment horizontal="center" vertical="center" wrapText="1"/>
    </xf>
    <xf numFmtId="0" fontId="34" fillId="40" borderId="183" xfId="33" applyFont="1" applyFill="1" applyBorder="1" applyAlignment="1">
      <alignment horizontal="center" vertical="center" wrapText="1"/>
    </xf>
    <xf numFmtId="0" fontId="32" fillId="40" borderId="185" xfId="33" applyFont="1" applyFill="1" applyBorder="1" applyAlignment="1">
      <alignment horizontal="center" vertical="center"/>
    </xf>
    <xf numFmtId="0" fontId="28" fillId="24" borderId="185" xfId="33" applyFont="1" applyFill="1" applyBorder="1" applyAlignment="1">
      <alignment horizontal="center" vertical="center" wrapText="1"/>
    </xf>
    <xf numFmtId="0" fontId="29" fillId="24" borderId="197" xfId="47" applyFont="1" applyFill="1" applyBorder="1" applyAlignment="1">
      <alignment horizontal="center" vertical="center"/>
    </xf>
    <xf numFmtId="0" fontId="29" fillId="24" borderId="198" xfId="47" applyFont="1" applyFill="1" applyBorder="1" applyAlignment="1">
      <alignment horizontal="center" vertical="center"/>
    </xf>
    <xf numFmtId="0" fontId="29" fillId="0" borderId="159" xfId="0" applyFont="1" applyFill="1" applyBorder="1" applyAlignment="1">
      <alignment horizontal="center" vertical="center"/>
    </xf>
    <xf numFmtId="0" fontId="29" fillId="0" borderId="197" xfId="0" applyFont="1" applyFill="1" applyBorder="1" applyAlignment="1">
      <alignment horizontal="center" vertical="center"/>
    </xf>
    <xf numFmtId="0" fontId="29" fillId="0" borderId="243" xfId="0" applyFont="1" applyFill="1" applyBorder="1" applyAlignment="1">
      <alignment horizontal="center" vertical="center"/>
    </xf>
    <xf numFmtId="0" fontId="29" fillId="0" borderId="198" xfId="0" applyFont="1" applyFill="1" applyBorder="1" applyAlignment="1">
      <alignment horizontal="center" vertical="center"/>
    </xf>
    <xf numFmtId="174" fontId="28" fillId="25" borderId="159" xfId="48" applyNumberFormat="1" applyFont="1" applyFill="1" applyBorder="1" applyAlignment="1">
      <alignment horizontal="center" vertical="center"/>
    </xf>
    <xf numFmtId="174" fontId="28" fillId="25" borderId="198" xfId="48" applyNumberFormat="1" applyFont="1" applyFill="1" applyBorder="1" applyAlignment="1">
      <alignment horizontal="center" vertical="center"/>
    </xf>
    <xf numFmtId="0" fontId="35" fillId="40" borderId="92" xfId="47" applyFont="1" applyFill="1" applyBorder="1" applyAlignment="1">
      <alignment horizontal="center" vertical="center" wrapText="1"/>
    </xf>
    <xf numFmtId="0" fontId="29" fillId="0" borderId="57" xfId="49" applyFont="1" applyBorder="1" applyAlignment="1" applyProtection="1">
      <alignment horizontal="left" vertical="center"/>
    </xf>
    <xf numFmtId="0" fontId="29" fillId="0" borderId="0" xfId="49" applyFont="1" applyBorder="1" applyAlignment="1" applyProtection="1">
      <alignment horizontal="left" vertical="center"/>
    </xf>
    <xf numFmtId="0" fontId="29" fillId="0" borderId="19" xfId="49" applyFont="1" applyBorder="1" applyAlignment="1" applyProtection="1">
      <alignment horizontal="left" vertical="center"/>
    </xf>
    <xf numFmtId="0" fontId="29" fillId="0" borderId="17" xfId="49" applyFont="1" applyBorder="1" applyAlignment="1" applyProtection="1">
      <alignment horizontal="left" vertical="center"/>
    </xf>
    <xf numFmtId="0" fontId="29" fillId="0" borderId="15" xfId="49" applyFont="1" applyBorder="1" applyAlignment="1" applyProtection="1">
      <alignment horizontal="left" vertical="center"/>
    </xf>
    <xf numFmtId="0" fontId="28" fillId="36" borderId="0" xfId="49" applyFont="1" applyFill="1" applyBorder="1" applyAlignment="1" applyProtection="1">
      <alignment horizontal="left" vertical="center"/>
    </xf>
    <xf numFmtId="0" fontId="28" fillId="33" borderId="34" xfId="49" applyFont="1" applyFill="1" applyBorder="1" applyAlignment="1" applyProtection="1">
      <alignment horizontal="left" vertical="center"/>
    </xf>
    <xf numFmtId="0" fontId="28" fillId="33" borderId="0" xfId="49" applyFont="1" applyFill="1" applyBorder="1" applyAlignment="1" applyProtection="1">
      <alignment horizontal="left" vertical="center"/>
    </xf>
    <xf numFmtId="0" fontId="28" fillId="33" borderId="11" xfId="49" applyFont="1" applyFill="1" applyBorder="1" applyAlignment="1" applyProtection="1">
      <alignment horizontal="left" vertical="center"/>
    </xf>
    <xf numFmtId="0" fontId="28" fillId="33" borderId="34" xfId="49" applyFont="1" applyFill="1" applyBorder="1" applyAlignment="1" applyProtection="1">
      <alignment horizontal="right" vertical="center"/>
    </xf>
    <xf numFmtId="0" fontId="28" fillId="33" borderId="0" xfId="49" applyFont="1" applyFill="1" applyBorder="1" applyAlignment="1" applyProtection="1">
      <alignment horizontal="right" vertical="center"/>
    </xf>
    <xf numFmtId="0" fontId="28" fillId="33" borderId="11" xfId="49" applyFont="1" applyFill="1" applyBorder="1" applyAlignment="1" applyProtection="1">
      <alignment horizontal="right" vertical="center"/>
    </xf>
    <xf numFmtId="0" fontId="28" fillId="33" borderId="53" xfId="49" applyFont="1" applyFill="1" applyBorder="1" applyAlignment="1" applyProtection="1">
      <alignment horizontal="left" vertical="center"/>
    </xf>
    <xf numFmtId="0" fontId="28" fillId="33" borderId="12" xfId="49" applyFont="1" applyFill="1" applyBorder="1" applyAlignment="1" applyProtection="1">
      <alignment horizontal="left" vertical="center"/>
    </xf>
    <xf numFmtId="0" fontId="28" fillId="33" borderId="31" xfId="49" applyFont="1" applyFill="1" applyBorder="1" applyAlignment="1" applyProtection="1">
      <alignment horizontal="left" vertical="center"/>
    </xf>
    <xf numFmtId="0" fontId="28" fillId="32" borderId="47" xfId="49" applyFont="1" applyFill="1" applyBorder="1" applyAlignment="1" applyProtection="1">
      <alignment horizontal="right" vertical="center"/>
    </xf>
    <xf numFmtId="0" fontId="28" fillId="32" borderId="17" xfId="49" applyFont="1" applyFill="1" applyBorder="1" applyAlignment="1" applyProtection="1">
      <alignment horizontal="right" vertical="center"/>
    </xf>
    <xf numFmtId="0" fontId="28" fillId="32" borderId="15" xfId="49" applyFont="1" applyFill="1" applyBorder="1" applyAlignment="1" applyProtection="1">
      <alignment horizontal="right" vertical="center"/>
    </xf>
    <xf numFmtId="0" fontId="28" fillId="35" borderId="47" xfId="49" applyFont="1" applyFill="1" applyBorder="1" applyAlignment="1" applyProtection="1">
      <alignment horizontal="center" vertical="center"/>
    </xf>
    <xf numFmtId="0" fontId="28" fillId="35" borderId="17" xfId="49" applyFont="1" applyFill="1" applyBorder="1" applyAlignment="1" applyProtection="1">
      <alignment horizontal="center" vertical="center"/>
    </xf>
    <xf numFmtId="0" fontId="28" fillId="35" borderId="18" xfId="49" applyFont="1" applyFill="1" applyBorder="1" applyAlignment="1" applyProtection="1">
      <alignment horizontal="center" vertical="center"/>
    </xf>
    <xf numFmtId="0" fontId="29" fillId="0" borderId="24" xfId="49" applyFont="1" applyBorder="1" applyAlignment="1" applyProtection="1">
      <alignment horizontal="left" vertical="center"/>
    </xf>
    <xf numFmtId="0" fontId="29" fillId="0" borderId="21" xfId="49" applyFont="1" applyBorder="1" applyAlignment="1" applyProtection="1">
      <alignment horizontal="left" vertical="center"/>
    </xf>
    <xf numFmtId="0" fontId="28" fillId="0" borderId="57" xfId="49" applyFont="1" applyBorder="1" applyAlignment="1" applyProtection="1">
      <alignment horizontal="left" vertical="center"/>
    </xf>
    <xf numFmtId="0" fontId="28" fillId="0" borderId="0" xfId="49" applyFont="1" applyBorder="1" applyAlignment="1" applyProtection="1">
      <alignment horizontal="left" vertical="center"/>
    </xf>
    <xf numFmtId="0" fontId="28" fillId="0" borderId="25" xfId="49" applyFont="1" applyBorder="1" applyAlignment="1" applyProtection="1">
      <alignment horizontal="right" vertical="center"/>
    </xf>
    <xf numFmtId="0" fontId="28" fillId="0" borderId="12" xfId="49" applyFont="1" applyBorder="1" applyAlignment="1" applyProtection="1">
      <alignment horizontal="right" vertical="center"/>
    </xf>
    <xf numFmtId="0" fontId="28" fillId="27" borderId="45" xfId="49" applyFont="1" applyFill="1" applyBorder="1" applyAlignment="1" applyProtection="1">
      <alignment horizontal="center" vertical="center"/>
    </xf>
    <xf numFmtId="0" fontId="28" fillId="27" borderId="15" xfId="49" applyFont="1" applyFill="1" applyBorder="1" applyAlignment="1" applyProtection="1">
      <alignment horizontal="center" vertical="center"/>
    </xf>
    <xf numFmtId="0" fontId="28" fillId="27" borderId="16" xfId="49" applyFont="1" applyFill="1" applyBorder="1" applyAlignment="1" applyProtection="1">
      <alignment horizontal="center" vertical="center"/>
    </xf>
    <xf numFmtId="0" fontId="28" fillId="27" borderId="46" xfId="49" applyFont="1" applyFill="1" applyBorder="1" applyAlignment="1" applyProtection="1">
      <alignment horizontal="center" vertical="center"/>
    </xf>
    <xf numFmtId="0" fontId="28" fillId="33" borderId="20" xfId="49" applyFont="1" applyFill="1" applyBorder="1" applyAlignment="1" applyProtection="1">
      <alignment horizontal="left" vertical="center"/>
    </xf>
    <xf numFmtId="0" fontId="28" fillId="33" borderId="21" xfId="49" applyFont="1" applyFill="1" applyBorder="1" applyAlignment="1" applyProtection="1">
      <alignment horizontal="left" vertical="center"/>
    </xf>
    <xf numFmtId="0" fontId="28" fillId="33" borderId="29" xfId="49" applyFont="1" applyFill="1" applyBorder="1" applyAlignment="1" applyProtection="1">
      <alignment horizontal="left" vertical="center"/>
    </xf>
    <xf numFmtId="0" fontId="28" fillId="32" borderId="45" xfId="49" applyFont="1" applyFill="1" applyBorder="1" applyAlignment="1" applyProtection="1">
      <alignment horizontal="right" vertical="center"/>
    </xf>
    <xf numFmtId="0" fontId="28" fillId="31" borderId="47" xfId="0" applyFont="1" applyFill="1" applyBorder="1" applyAlignment="1" applyProtection="1">
      <alignment horizontal="left" vertical="center"/>
    </xf>
    <xf numFmtId="0" fontId="28" fillId="31" borderId="17" xfId="0" applyFont="1" applyFill="1" applyBorder="1" applyAlignment="1" applyProtection="1">
      <alignment horizontal="left" vertical="center"/>
    </xf>
    <xf numFmtId="0" fontId="28" fillId="31" borderId="18" xfId="0" applyFont="1" applyFill="1" applyBorder="1" applyAlignment="1" applyProtection="1">
      <alignment horizontal="left" vertical="center"/>
    </xf>
    <xf numFmtId="0" fontId="29" fillId="0" borderId="24" xfId="0" applyFont="1" applyBorder="1" applyAlignment="1" applyProtection="1">
      <alignment horizontal="left" vertical="center"/>
    </xf>
    <xf numFmtId="0" fontId="29" fillId="0" borderId="21" xfId="0" applyFont="1" applyBorder="1" applyAlignment="1" applyProtection="1">
      <alignment horizontal="left" vertical="center"/>
    </xf>
    <xf numFmtId="0" fontId="28" fillId="32" borderId="45" xfId="0" applyFont="1" applyFill="1" applyBorder="1" applyAlignment="1" applyProtection="1">
      <alignment horizontal="right" vertical="center"/>
    </xf>
    <xf numFmtId="0" fontId="28" fillId="32" borderId="15" xfId="0" applyFont="1" applyFill="1" applyBorder="1" applyAlignment="1" applyProtection="1">
      <alignment horizontal="right" vertical="center"/>
    </xf>
    <xf numFmtId="0" fontId="28" fillId="32" borderId="47" xfId="0" applyFont="1" applyFill="1" applyBorder="1" applyAlignment="1" applyProtection="1">
      <alignment horizontal="right" vertical="center"/>
    </xf>
    <xf numFmtId="0" fontId="28" fillId="32" borderId="17" xfId="0" applyFont="1" applyFill="1" applyBorder="1" applyAlignment="1" applyProtection="1">
      <alignment horizontal="right" vertical="center"/>
    </xf>
    <xf numFmtId="0" fontId="29" fillId="0" borderId="108" xfId="49" applyFont="1" applyBorder="1" applyAlignment="1" applyProtection="1">
      <alignment horizontal="left" vertical="center"/>
    </xf>
    <xf numFmtId="0" fontId="29" fillId="0" borderId="155" xfId="49" applyFont="1" applyBorder="1" applyAlignment="1" applyProtection="1">
      <alignment horizontal="left" vertical="center"/>
    </xf>
    <xf numFmtId="0" fontId="29" fillId="0" borderId="172" xfId="49" applyFont="1" applyBorder="1" applyAlignment="1" applyProtection="1">
      <alignment horizontal="left" vertical="center"/>
    </xf>
    <xf numFmtId="0" fontId="29" fillId="0" borderId="91" xfId="49" applyFont="1" applyBorder="1" applyAlignment="1" applyProtection="1">
      <alignment horizontal="left" vertical="center"/>
    </xf>
    <xf numFmtId="0" fontId="29" fillId="0" borderId="150" xfId="49" applyFont="1" applyBorder="1" applyAlignment="1" applyProtection="1">
      <alignment horizontal="left" vertical="center"/>
    </xf>
    <xf numFmtId="0" fontId="28" fillId="31" borderId="47" xfId="49" applyFont="1" applyFill="1" applyBorder="1" applyAlignment="1" applyProtection="1">
      <alignment horizontal="left" vertical="center"/>
    </xf>
    <xf numFmtId="0" fontId="28" fillId="31" borderId="17" xfId="49" applyFont="1" applyFill="1" applyBorder="1" applyAlignment="1" applyProtection="1">
      <alignment horizontal="left" vertical="center"/>
    </xf>
    <xf numFmtId="0" fontId="28" fillId="31" borderId="18" xfId="49" applyFont="1" applyFill="1" applyBorder="1" applyAlignment="1" applyProtection="1">
      <alignment horizontal="left" vertical="center"/>
    </xf>
    <xf numFmtId="0" fontId="29" fillId="0" borderId="57" xfId="0" applyFont="1" applyBorder="1" applyAlignment="1" applyProtection="1">
      <alignment horizontal="left" vertical="center"/>
    </xf>
    <xf numFmtId="0" fontId="29" fillId="0" borderId="0" xfId="0" applyFont="1" applyBorder="1" applyAlignment="1" applyProtection="1">
      <alignment horizontal="left" vertical="center"/>
    </xf>
    <xf numFmtId="0" fontId="29" fillId="0" borderId="25" xfId="0" applyFont="1" applyBorder="1" applyAlignment="1" applyProtection="1">
      <alignment horizontal="left" vertical="center"/>
    </xf>
    <xf numFmtId="0" fontId="29" fillId="0" borderId="12" xfId="0" applyFont="1" applyBorder="1" applyAlignment="1" applyProtection="1">
      <alignment horizontal="left" vertical="center"/>
    </xf>
    <xf numFmtId="0" fontId="29" fillId="0" borderId="25" xfId="49" applyFont="1" applyBorder="1" applyAlignment="1" applyProtection="1">
      <alignment horizontal="left" vertical="center"/>
    </xf>
    <xf numFmtId="0" fontId="29" fillId="0" borderId="12" xfId="49" applyFont="1" applyBorder="1" applyAlignment="1" applyProtection="1">
      <alignment horizontal="left" vertical="center"/>
    </xf>
    <xf numFmtId="0" fontId="29" fillId="0" borderId="57" xfId="49" applyFont="1" applyBorder="1" applyAlignment="1" applyProtection="1">
      <alignment vertical="center"/>
    </xf>
    <xf numFmtId="0" fontId="29" fillId="0" borderId="0" xfId="49" applyFont="1" applyBorder="1" applyAlignment="1" applyProtection="1">
      <alignment vertical="center"/>
    </xf>
    <xf numFmtId="0" fontId="29" fillId="0" borderId="24" xfId="0" applyFont="1" applyBorder="1" applyAlignment="1" applyProtection="1">
      <alignment vertical="center"/>
    </xf>
    <xf numFmtId="0" fontId="29" fillId="0" borderId="21" xfId="0" applyFont="1" applyBorder="1" applyAlignment="1" applyProtection="1">
      <alignment vertical="center"/>
    </xf>
    <xf numFmtId="0" fontId="29" fillId="0" borderId="57" xfId="0" applyFont="1" applyBorder="1" applyAlignment="1" applyProtection="1">
      <alignment vertical="center"/>
    </xf>
    <xf numFmtId="0" fontId="29" fillId="0" borderId="0" xfId="0" applyFont="1" applyBorder="1" applyAlignment="1" applyProtection="1">
      <alignment vertical="center"/>
    </xf>
    <xf numFmtId="0" fontId="29" fillId="0" borderId="57" xfId="49" applyFont="1" applyFill="1" applyBorder="1" applyAlignment="1" applyProtection="1">
      <alignment vertical="center"/>
    </xf>
    <xf numFmtId="0" fontId="29" fillId="0" borderId="0" xfId="49" applyFont="1" applyFill="1" applyBorder="1" applyAlignment="1" applyProtection="1">
      <alignment vertical="center"/>
    </xf>
    <xf numFmtId="0" fontId="29" fillId="0" borderId="11" xfId="0" applyFont="1" applyBorder="1" applyAlignment="1" applyProtection="1">
      <alignment horizontal="left" vertical="center"/>
    </xf>
    <xf numFmtId="0" fontId="29" fillId="0" borderId="31" xfId="0" applyFont="1" applyBorder="1" applyAlignment="1" applyProtection="1">
      <alignment horizontal="left" vertical="center"/>
    </xf>
    <xf numFmtId="0" fontId="28" fillId="0" borderId="17" xfId="0" applyFont="1" applyBorder="1" applyAlignment="1" applyProtection="1">
      <alignment horizontal="right" vertical="center"/>
      <protection locked="0"/>
    </xf>
    <xf numFmtId="0" fontId="29" fillId="0" borderId="29" xfId="0" applyFont="1" applyBorder="1" applyAlignment="1" applyProtection="1">
      <alignment horizontal="left" vertical="center"/>
    </xf>
    <xf numFmtId="0" fontId="29" fillId="0" borderId="58" xfId="0" applyFont="1" applyBorder="1" applyAlignment="1" applyProtection="1">
      <alignment horizontal="left" vertical="center"/>
    </xf>
    <xf numFmtId="0" fontId="28" fillId="32" borderId="16" xfId="49" applyFont="1" applyFill="1" applyBorder="1" applyAlignment="1" applyProtection="1">
      <alignment horizontal="right" vertical="center"/>
    </xf>
    <xf numFmtId="0" fontId="29" fillId="0" borderId="26" xfId="0" applyFont="1" applyBorder="1" applyAlignment="1" applyProtection="1">
      <alignment horizontal="left" vertical="center"/>
    </xf>
    <xf numFmtId="0" fontId="28" fillId="0" borderId="47" xfId="49" applyFont="1" applyBorder="1" applyAlignment="1" applyProtection="1">
      <alignment horizontal="center" vertical="center" shrinkToFit="1"/>
    </xf>
    <xf numFmtId="0" fontId="28" fillId="0" borderId="17" xfId="49" applyFont="1" applyBorder="1" applyAlignment="1" applyProtection="1">
      <alignment horizontal="center" vertical="center" shrinkToFit="1"/>
    </xf>
    <xf numFmtId="0" fontId="28" fillId="0" borderId="18" xfId="49" applyFont="1" applyBorder="1" applyAlignment="1" applyProtection="1">
      <alignment horizontal="center" vertical="center" shrinkToFit="1"/>
    </xf>
    <xf numFmtId="0" fontId="28" fillId="31" borderId="16" xfId="49" applyFont="1" applyFill="1" applyBorder="1" applyAlignment="1" applyProtection="1">
      <alignment horizontal="center" vertical="center"/>
    </xf>
    <xf numFmtId="0" fontId="29" fillId="0" borderId="47" xfId="49" applyFont="1" applyBorder="1" applyAlignment="1" applyProtection="1">
      <alignment horizontal="right" vertical="center"/>
    </xf>
    <xf numFmtId="0" fontId="29" fillId="0" borderId="17" xfId="49" applyFont="1" applyBorder="1" applyAlignment="1" applyProtection="1">
      <alignment horizontal="right" vertical="center"/>
    </xf>
    <xf numFmtId="0" fontId="29" fillId="0" borderId="15" xfId="49" applyFont="1" applyBorder="1" applyAlignment="1" applyProtection="1">
      <alignment horizontal="right" vertical="center"/>
    </xf>
    <xf numFmtId="0" fontId="28" fillId="0" borderId="57" xfId="49" applyFont="1" applyBorder="1" applyAlignment="1" applyProtection="1">
      <alignment horizontal="center" vertical="center"/>
    </xf>
    <xf numFmtId="0" fontId="28" fillId="0" borderId="35" xfId="49" applyFont="1" applyBorder="1" applyAlignment="1" applyProtection="1">
      <alignment horizontal="center" vertical="center"/>
    </xf>
    <xf numFmtId="0" fontId="29" fillId="0" borderId="47" xfId="49" applyFont="1" applyBorder="1" applyAlignment="1" applyProtection="1">
      <alignment horizontal="right" vertical="center" wrapText="1"/>
    </xf>
    <xf numFmtId="0" fontId="29" fillId="0" borderId="17" xfId="49" applyFont="1" applyBorder="1" applyAlignment="1" applyProtection="1">
      <alignment horizontal="right" vertical="center" wrapText="1"/>
    </xf>
    <xf numFmtId="0" fontId="29" fillId="0" borderId="15" xfId="49" applyFont="1" applyBorder="1" applyAlignment="1" applyProtection="1">
      <alignment horizontal="right" vertical="center" wrapText="1"/>
    </xf>
    <xf numFmtId="1" fontId="28" fillId="0" borderId="57" xfId="49" applyNumberFormat="1" applyFont="1" applyBorder="1" applyAlignment="1" applyProtection="1">
      <alignment horizontal="center" vertical="center"/>
    </xf>
    <xf numFmtId="1" fontId="28" fillId="0" borderId="35" xfId="49" applyNumberFormat="1" applyFont="1" applyBorder="1" applyAlignment="1" applyProtection="1">
      <alignment horizontal="center" vertical="center"/>
    </xf>
    <xf numFmtId="168" fontId="28" fillId="29" borderId="57" xfId="64" applyNumberFormat="1" applyFont="1" applyFill="1" applyBorder="1" applyAlignment="1" applyProtection="1">
      <alignment horizontal="center" vertical="center"/>
    </xf>
    <xf numFmtId="168" fontId="28" fillId="29" borderId="35" xfId="64" applyNumberFormat="1" applyFont="1" applyFill="1" applyBorder="1" applyAlignment="1" applyProtection="1">
      <alignment horizontal="center" vertical="center"/>
    </xf>
    <xf numFmtId="14" fontId="28" fillId="30" borderId="57" xfId="49" applyNumberFormat="1" applyFont="1" applyFill="1" applyBorder="1" applyAlignment="1" applyProtection="1">
      <alignment horizontal="center" vertical="center"/>
    </xf>
    <xf numFmtId="14" fontId="28" fillId="30" borderId="35" xfId="49" applyNumberFormat="1" applyFont="1" applyFill="1" applyBorder="1" applyAlignment="1" applyProtection="1">
      <alignment horizontal="center" vertical="center"/>
    </xf>
    <xf numFmtId="168" fontId="28" fillId="0" borderId="24" xfId="64" applyNumberFormat="1" applyFont="1" applyBorder="1" applyAlignment="1" applyProtection="1">
      <alignment horizontal="center" vertical="center"/>
    </xf>
    <xf numFmtId="168" fontId="28" fillId="0" borderId="22" xfId="64" applyNumberFormat="1" applyFont="1" applyBorder="1" applyAlignment="1" applyProtection="1">
      <alignment horizontal="center" vertical="center"/>
    </xf>
    <xf numFmtId="0" fontId="28" fillId="28" borderId="57" xfId="0" applyFont="1" applyFill="1" applyBorder="1" applyAlignment="1" applyProtection="1">
      <alignment horizontal="center" vertical="center"/>
    </xf>
    <xf numFmtId="0" fontId="28" fillId="28" borderId="35" xfId="0" applyFont="1" applyFill="1" applyBorder="1" applyAlignment="1" applyProtection="1">
      <alignment horizontal="center" vertical="center"/>
    </xf>
    <xf numFmtId="0" fontId="28" fillId="0" borderId="25" xfId="49" applyFont="1" applyBorder="1" applyAlignment="1" applyProtection="1">
      <alignment horizontal="center" vertical="center" wrapText="1"/>
    </xf>
    <xf numFmtId="0" fontId="28" fillId="0" borderId="23" xfId="49" applyFont="1" applyBorder="1" applyAlignment="1" applyProtection="1">
      <alignment horizontal="center" vertical="center" wrapText="1"/>
    </xf>
    <xf numFmtId="0" fontId="28" fillId="0" borderId="54" xfId="49" applyFont="1" applyBorder="1" applyAlignment="1" applyProtection="1">
      <alignment horizontal="left" vertical="center"/>
    </xf>
    <xf numFmtId="0" fontId="28" fillId="0" borderId="55" xfId="49" applyFont="1" applyBorder="1" applyAlignment="1" applyProtection="1">
      <alignment horizontal="left" vertical="center"/>
    </xf>
    <xf numFmtId="0" fontId="28" fillId="26" borderId="10" xfId="49" applyFont="1" applyFill="1" applyBorder="1" applyAlignment="1" applyProtection="1">
      <alignment horizontal="center" vertical="center"/>
    </xf>
    <xf numFmtId="0" fontId="28" fillId="0" borderId="54" xfId="49" applyFont="1" applyBorder="1" applyAlignment="1" applyProtection="1">
      <alignment horizontal="center" vertical="center"/>
    </xf>
    <xf numFmtId="0" fontId="28" fillId="0" borderId="56" xfId="49" applyFont="1" applyBorder="1" applyAlignment="1" applyProtection="1">
      <alignment horizontal="center" vertical="center"/>
    </xf>
    <xf numFmtId="0" fontId="28" fillId="0" borderId="34" xfId="49" applyFont="1" applyBorder="1" applyAlignment="1" applyProtection="1">
      <alignment horizontal="justify" vertical="center"/>
    </xf>
    <xf numFmtId="0" fontId="28" fillId="0" borderId="0" xfId="49" applyFont="1" applyBorder="1" applyAlignment="1" applyProtection="1">
      <alignment horizontal="justify" vertical="center"/>
    </xf>
    <xf numFmtId="0" fontId="28" fillId="0" borderId="35" xfId="49" applyFont="1" applyBorder="1" applyAlignment="1" applyProtection="1">
      <alignment horizontal="justify" vertical="center"/>
    </xf>
    <xf numFmtId="0" fontId="28" fillId="0" borderId="40" xfId="49" applyFont="1" applyBorder="1" applyAlignment="1" applyProtection="1">
      <alignment horizontal="justify" vertical="center"/>
    </xf>
    <xf numFmtId="0" fontId="28" fillId="0" borderId="13" xfId="49" applyFont="1" applyBorder="1" applyAlignment="1" applyProtection="1">
      <alignment horizontal="justify" vertical="center"/>
    </xf>
    <xf numFmtId="0" fontId="28" fillId="0" borderId="14" xfId="49" applyFont="1" applyBorder="1" applyAlignment="1" applyProtection="1">
      <alignment horizontal="justify" vertical="center"/>
    </xf>
    <xf numFmtId="0" fontId="28" fillId="27" borderId="49" xfId="49" applyFont="1" applyFill="1" applyBorder="1" applyAlignment="1" applyProtection="1">
      <alignment horizontal="center" vertical="center" wrapText="1"/>
    </xf>
    <xf numFmtId="0" fontId="28" fillId="27" borderId="15" xfId="49" applyFont="1" applyFill="1" applyBorder="1" applyAlignment="1" applyProtection="1">
      <alignment horizontal="center" vertical="center" wrapText="1"/>
    </xf>
    <xf numFmtId="0" fontId="28" fillId="27" borderId="43" xfId="49" applyFont="1" applyFill="1" applyBorder="1" applyAlignment="1" applyProtection="1">
      <alignment horizontal="center" vertical="center" wrapText="1"/>
    </xf>
    <xf numFmtId="0" fontId="28" fillId="27" borderId="46" xfId="49" applyFont="1" applyFill="1" applyBorder="1" applyAlignment="1" applyProtection="1">
      <alignment horizontal="center" vertical="center" wrapText="1"/>
    </xf>
    <xf numFmtId="0" fontId="28" fillId="0" borderId="17" xfId="49" applyFont="1" applyBorder="1" applyAlignment="1" applyProtection="1">
      <alignment horizontal="center" vertical="center" wrapText="1"/>
    </xf>
    <xf numFmtId="0" fontId="28" fillId="0" borderId="18" xfId="49" applyFont="1" applyBorder="1" applyAlignment="1" applyProtection="1">
      <alignment horizontal="center" vertical="center" wrapText="1"/>
    </xf>
    <xf numFmtId="0" fontId="28" fillId="0" borderId="17" xfId="49" applyFont="1" applyBorder="1" applyAlignment="1" applyProtection="1">
      <alignment horizontal="center" vertical="center"/>
    </xf>
    <xf numFmtId="0" fontId="28" fillId="0" borderId="18" xfId="49" applyFont="1" applyBorder="1" applyAlignment="1" applyProtection="1">
      <alignment horizontal="center" vertical="center"/>
    </xf>
    <xf numFmtId="0" fontId="28" fillId="0" borderId="19" xfId="49" applyFont="1" applyBorder="1" applyAlignment="1" applyProtection="1">
      <alignment horizontal="center" vertical="center" wrapText="1"/>
    </xf>
    <xf numFmtId="0" fontId="28" fillId="0" borderId="20" xfId="49" applyFont="1" applyBorder="1" applyAlignment="1" applyProtection="1">
      <alignment horizontal="justify" vertical="center" wrapText="1"/>
    </xf>
    <xf numFmtId="0" fontId="28" fillId="0" borderId="21" xfId="49" applyFont="1" applyBorder="1" applyAlignment="1" applyProtection="1">
      <alignment horizontal="justify" vertical="center" wrapText="1"/>
    </xf>
    <xf numFmtId="0" fontId="28" fillId="0" borderId="22" xfId="49" applyFont="1" applyBorder="1" applyAlignment="1" applyProtection="1">
      <alignment horizontal="justify" vertical="center" wrapText="1"/>
    </xf>
    <xf numFmtId="0" fontId="28" fillId="0" borderId="53" xfId="49" applyFont="1" applyBorder="1" applyAlignment="1" applyProtection="1">
      <alignment horizontal="justify" vertical="center" wrapText="1"/>
    </xf>
    <xf numFmtId="0" fontId="28" fillId="0" borderId="12" xfId="49" applyFont="1" applyBorder="1" applyAlignment="1" applyProtection="1">
      <alignment horizontal="justify" vertical="center" wrapText="1"/>
    </xf>
    <xf numFmtId="0" fontId="28" fillId="0" borderId="23" xfId="49" applyFont="1" applyBorder="1" applyAlignment="1" applyProtection="1">
      <alignment horizontal="justify" vertical="center" wrapText="1"/>
    </xf>
    <xf numFmtId="0" fontId="28" fillId="0" borderId="47" xfId="49" applyFont="1" applyBorder="1" applyAlignment="1" applyProtection="1">
      <alignment horizontal="center" vertical="center" wrapText="1"/>
    </xf>
    <xf numFmtId="0" fontId="32" fillId="43" borderId="220" xfId="0" applyFont="1" applyFill="1" applyBorder="1" applyAlignment="1">
      <alignment horizontal="right" vertical="center"/>
    </xf>
    <xf numFmtId="0" fontId="32" fillId="43" borderId="224" xfId="0" applyFont="1" applyFill="1" applyBorder="1" applyAlignment="1">
      <alignment horizontal="right" vertical="center"/>
    </xf>
    <xf numFmtId="0" fontId="32" fillId="43" borderId="228" xfId="0" applyFont="1" applyFill="1" applyBorder="1" applyAlignment="1">
      <alignment horizontal="right" vertical="center"/>
    </xf>
    <xf numFmtId="0" fontId="32" fillId="52" borderId="44" xfId="0" applyFont="1" applyFill="1" applyBorder="1" applyAlignment="1">
      <alignment horizontal="right" vertical="center"/>
    </xf>
    <xf numFmtId="0" fontId="32" fillId="52" borderId="63" xfId="0" applyFont="1" applyFill="1" applyBorder="1" applyAlignment="1">
      <alignment horizontal="right" vertical="center"/>
    </xf>
    <xf numFmtId="0" fontId="32" fillId="64" borderId="44" xfId="0" applyFont="1" applyFill="1" applyBorder="1" applyAlignment="1">
      <alignment horizontal="right" vertical="center"/>
    </xf>
    <xf numFmtId="0" fontId="32" fillId="64" borderId="63" xfId="0" applyFont="1" applyFill="1" applyBorder="1" applyAlignment="1">
      <alignment horizontal="right" vertical="center"/>
    </xf>
    <xf numFmtId="0" fontId="32" fillId="52" borderId="203" xfId="0" applyFont="1" applyFill="1" applyBorder="1" applyAlignment="1">
      <alignment horizontal="right" vertical="center" shrinkToFit="1"/>
    </xf>
    <xf numFmtId="0" fontId="32" fillId="52" borderId="204" xfId="0" applyFont="1" applyFill="1" applyBorder="1" applyAlignment="1">
      <alignment horizontal="right" vertical="center" shrinkToFit="1"/>
    </xf>
    <xf numFmtId="0" fontId="32" fillId="64" borderId="203" xfId="0" applyFont="1" applyFill="1" applyBorder="1" applyAlignment="1">
      <alignment horizontal="right" vertical="center"/>
    </xf>
    <xf numFmtId="0" fontId="32" fillId="64" borderId="204" xfId="0" applyFont="1" applyFill="1" applyBorder="1" applyAlignment="1">
      <alignment horizontal="right" vertical="center"/>
    </xf>
    <xf numFmtId="0" fontId="43" fillId="42" borderId="73" xfId="0" applyFont="1" applyFill="1" applyBorder="1" applyAlignment="1" applyProtection="1">
      <alignment horizontal="left" vertical="center" wrapText="1"/>
    </xf>
    <xf numFmtId="0" fontId="43" fillId="42" borderId="179" xfId="0" applyFont="1" applyFill="1" applyBorder="1" applyAlignment="1" applyProtection="1">
      <alignment horizontal="left" vertical="center" wrapText="1"/>
    </xf>
    <xf numFmtId="0" fontId="43" fillId="42" borderId="184" xfId="0" applyFont="1" applyFill="1" applyBorder="1" applyAlignment="1" applyProtection="1">
      <alignment horizontal="left" vertical="center" wrapText="1"/>
    </xf>
    <xf numFmtId="0" fontId="32" fillId="0" borderId="102" xfId="0" applyFont="1" applyBorder="1" applyAlignment="1">
      <alignment horizontal="left" vertical="center"/>
    </xf>
    <xf numFmtId="0" fontId="32" fillId="0" borderId="0" xfId="0" applyFont="1" applyBorder="1" applyAlignment="1">
      <alignment horizontal="left" vertical="center"/>
    </xf>
    <xf numFmtId="0" fontId="32" fillId="0" borderId="35" xfId="0" applyFont="1" applyBorder="1" applyAlignment="1">
      <alignment horizontal="left" vertical="center"/>
    </xf>
    <xf numFmtId="0" fontId="33" fillId="42" borderId="102" xfId="0" applyFont="1" applyFill="1" applyBorder="1" applyAlignment="1" applyProtection="1">
      <alignment horizontal="left" vertical="center"/>
    </xf>
    <xf numFmtId="0" fontId="33" fillId="42" borderId="0" xfId="0" applyFont="1" applyFill="1" applyBorder="1" applyAlignment="1" applyProtection="1">
      <alignment horizontal="left" vertical="center"/>
    </xf>
    <xf numFmtId="0" fontId="33" fillId="42" borderId="35" xfId="0" applyFont="1" applyFill="1" applyBorder="1" applyAlignment="1" applyProtection="1">
      <alignment horizontal="left" vertical="center"/>
    </xf>
    <xf numFmtId="0" fontId="32" fillId="42" borderId="102" xfId="0" applyFont="1" applyFill="1" applyBorder="1" applyAlignment="1" applyProtection="1">
      <alignment horizontal="left" vertical="center" wrapText="1"/>
    </xf>
    <xf numFmtId="0" fontId="32" fillId="42" borderId="0" xfId="0" applyFont="1" applyFill="1" applyBorder="1" applyAlignment="1" applyProtection="1">
      <alignment horizontal="left" vertical="center" wrapText="1"/>
    </xf>
    <xf numFmtId="0" fontId="32" fillId="42" borderId="35" xfId="0" applyFont="1" applyFill="1" applyBorder="1" applyAlignment="1" applyProtection="1">
      <alignment horizontal="left" vertical="center" wrapText="1"/>
    </xf>
    <xf numFmtId="0" fontId="32" fillId="42" borderId="102" xfId="0" applyFont="1" applyFill="1" applyBorder="1" applyAlignment="1" applyProtection="1">
      <alignment horizontal="left" vertical="center"/>
    </xf>
    <xf numFmtId="0" fontId="32" fillId="42" borderId="0" xfId="0" applyFont="1" applyFill="1" applyBorder="1" applyAlignment="1" applyProtection="1">
      <alignment horizontal="left" vertical="center"/>
    </xf>
    <xf numFmtId="0" fontId="32" fillId="42" borderId="35" xfId="0" applyFont="1" applyFill="1" applyBorder="1" applyAlignment="1" applyProtection="1">
      <alignment horizontal="left" vertical="center"/>
    </xf>
    <xf numFmtId="0" fontId="33" fillId="0" borderId="0" xfId="0" applyFont="1" applyAlignment="1" applyProtection="1">
      <alignment horizontal="center" vertical="center"/>
    </xf>
    <xf numFmtId="1" fontId="33" fillId="0" borderId="0" xfId="0" applyNumberFormat="1" applyFont="1" applyFill="1" applyBorder="1" applyAlignment="1">
      <alignment horizontal="center" vertical="center"/>
    </xf>
    <xf numFmtId="0" fontId="28" fillId="43" borderId="126" xfId="0" applyFont="1" applyFill="1" applyBorder="1" applyAlignment="1" applyProtection="1">
      <alignment horizontal="center" vertical="center" wrapText="1"/>
    </xf>
    <xf numFmtId="0" fontId="28" fillId="43" borderId="127" xfId="0" applyFont="1" applyFill="1" applyBorder="1" applyAlignment="1" applyProtection="1">
      <alignment horizontal="center" vertical="center" wrapText="1"/>
    </xf>
    <xf numFmtId="0" fontId="28" fillId="45" borderId="97" xfId="0" applyFont="1" applyFill="1" applyBorder="1" applyAlignment="1">
      <alignment horizontal="right" vertical="center"/>
    </xf>
    <xf numFmtId="0" fontId="28" fillId="45" borderId="98" xfId="0" applyFont="1" applyFill="1" applyBorder="1" applyAlignment="1">
      <alignment horizontal="right" vertical="center"/>
    </xf>
    <xf numFmtId="0" fontId="28" fillId="45" borderId="109" xfId="0" applyFont="1" applyFill="1" applyBorder="1" applyAlignment="1">
      <alignment horizontal="right" vertical="center"/>
    </xf>
    <xf numFmtId="0" fontId="28" fillId="45" borderId="110" xfId="0" applyFont="1" applyFill="1" applyBorder="1" applyAlignment="1">
      <alignment horizontal="right" vertical="center"/>
    </xf>
    <xf numFmtId="0" fontId="28" fillId="45" borderId="44" xfId="0" applyFont="1" applyFill="1" applyBorder="1" applyAlignment="1">
      <alignment horizontal="right" vertical="center"/>
    </xf>
    <xf numFmtId="0" fontId="28" fillId="45" borderId="63" xfId="0" applyFont="1" applyFill="1" applyBorder="1" applyAlignment="1">
      <alignment horizontal="right" vertical="center"/>
    </xf>
    <xf numFmtId="0" fontId="32" fillId="43" borderId="123" xfId="0" applyFont="1" applyFill="1" applyBorder="1" applyAlignment="1">
      <alignment horizontal="right" vertical="center"/>
    </xf>
    <xf numFmtId="0" fontId="32" fillId="43" borderId="124" xfId="0" applyFont="1" applyFill="1" applyBorder="1" applyAlignment="1">
      <alignment horizontal="right" vertical="center"/>
    </xf>
    <xf numFmtId="1" fontId="33" fillId="42" borderId="79" xfId="0" applyNumberFormat="1" applyFont="1" applyFill="1" applyBorder="1" applyAlignment="1">
      <alignment horizontal="center" vertical="center"/>
    </xf>
    <xf numFmtId="1" fontId="33" fillId="42" borderId="6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32" fillId="22" borderId="102" xfId="0" applyFont="1" applyFill="1" applyBorder="1" applyAlignment="1" applyProtection="1">
      <alignment horizontal="center" vertical="center" wrapText="1"/>
      <protection locked="0"/>
    </xf>
    <xf numFmtId="0" fontId="32" fillId="22" borderId="0" xfId="0" applyFont="1" applyFill="1" applyBorder="1" applyAlignment="1" applyProtection="1">
      <alignment horizontal="center" vertical="center" wrapText="1"/>
      <protection locked="0"/>
    </xf>
    <xf numFmtId="0" fontId="32" fillId="22" borderId="35" xfId="0" applyFont="1" applyFill="1" applyBorder="1" applyAlignment="1" applyProtection="1">
      <alignment horizontal="center" vertical="center" wrapText="1"/>
      <protection locked="0"/>
    </xf>
    <xf numFmtId="0" fontId="32" fillId="67" borderId="226" xfId="0" applyFont="1" applyFill="1" applyBorder="1" applyAlignment="1">
      <alignment horizontal="right" vertical="center"/>
    </xf>
    <xf numFmtId="0" fontId="32" fillId="67" borderId="227" xfId="0" applyFont="1" applyFill="1" applyBorder="1" applyAlignment="1">
      <alignment horizontal="right" vertical="center"/>
    </xf>
    <xf numFmtId="0" fontId="32" fillId="0" borderId="81" xfId="0" applyFont="1" applyBorder="1" applyAlignment="1" applyProtection="1">
      <alignment horizontal="center" vertical="center" wrapText="1"/>
    </xf>
    <xf numFmtId="0" fontId="32" fillId="0" borderId="89" xfId="0" applyFont="1" applyBorder="1" applyAlignment="1" applyProtection="1">
      <alignment horizontal="center" vertical="center" wrapText="1"/>
    </xf>
    <xf numFmtId="0" fontId="32" fillId="0" borderId="83" xfId="0" applyFont="1" applyBorder="1" applyAlignment="1" applyProtection="1">
      <alignment horizontal="center" vertical="center" wrapText="1"/>
    </xf>
    <xf numFmtId="0" fontId="32" fillId="39" borderId="73" xfId="49" applyFont="1" applyFill="1" applyBorder="1" applyAlignment="1" applyProtection="1">
      <alignment horizontal="center" vertical="center"/>
    </xf>
    <xf numFmtId="0" fontId="32" fillId="39" borderId="74" xfId="49" applyFont="1" applyFill="1" applyBorder="1" applyAlignment="1" applyProtection="1">
      <alignment horizontal="center" vertical="center"/>
    </xf>
    <xf numFmtId="0" fontId="32" fillId="39" borderId="75" xfId="49" applyFont="1" applyFill="1" applyBorder="1" applyAlignment="1" applyProtection="1">
      <alignment horizontal="center" vertical="center"/>
    </xf>
    <xf numFmtId="0" fontId="32" fillId="0" borderId="84" xfId="33" applyFont="1" applyBorder="1" applyAlignment="1">
      <alignment horizontal="center" vertical="center" wrapText="1"/>
    </xf>
    <xf numFmtId="0" fontId="32" fillId="0" borderId="85" xfId="33" applyFont="1" applyBorder="1" applyAlignment="1">
      <alignment horizontal="center" vertical="center" wrapText="1"/>
    </xf>
    <xf numFmtId="0" fontId="32" fillId="0" borderId="86" xfId="33" applyFont="1" applyBorder="1" applyAlignment="1">
      <alignment horizontal="center" vertical="center" wrapText="1"/>
    </xf>
    <xf numFmtId="0" fontId="28" fillId="43" borderId="140" xfId="0" applyFont="1" applyFill="1" applyBorder="1" applyAlignment="1">
      <alignment horizontal="center" vertical="center" wrapText="1"/>
    </xf>
    <xf numFmtId="0" fontId="28" fillId="43" borderId="127" xfId="0" applyFont="1" applyFill="1" applyBorder="1" applyAlignment="1">
      <alignment horizontal="center" vertical="center" wrapText="1"/>
    </xf>
    <xf numFmtId="0" fontId="28" fillId="43" borderId="128" xfId="0" applyFont="1" applyFill="1" applyBorder="1" applyAlignment="1" applyProtection="1">
      <alignment horizontal="center" vertical="center" wrapText="1"/>
    </xf>
    <xf numFmtId="0" fontId="28" fillId="43" borderId="139" xfId="0" applyFont="1" applyFill="1" applyBorder="1" applyAlignment="1">
      <alignment horizontal="center" vertical="center"/>
    </xf>
    <xf numFmtId="0" fontId="28" fillId="43" borderId="126" xfId="0" applyFont="1" applyFill="1" applyBorder="1" applyAlignment="1">
      <alignment horizontal="center" vertical="center"/>
    </xf>
    <xf numFmtId="0" fontId="28" fillId="43" borderId="140" xfId="0" applyFont="1" applyFill="1" applyBorder="1" applyAlignment="1">
      <alignment horizontal="center" vertical="center"/>
    </xf>
    <xf numFmtId="0" fontId="28" fillId="43" borderId="127" xfId="0" applyFont="1" applyFill="1" applyBorder="1" applyAlignment="1">
      <alignment horizontal="center" vertical="center"/>
    </xf>
    <xf numFmtId="0" fontId="28" fillId="43" borderId="141" xfId="0" applyFont="1" applyFill="1" applyBorder="1" applyAlignment="1">
      <alignment horizontal="center" vertical="center" wrapText="1"/>
    </xf>
    <xf numFmtId="0" fontId="28" fillId="43" borderId="128" xfId="0" applyFont="1" applyFill="1" applyBorder="1" applyAlignment="1">
      <alignment horizontal="center" vertical="center" wrapText="1"/>
    </xf>
    <xf numFmtId="0" fontId="32" fillId="0" borderId="159" xfId="0" applyFont="1" applyBorder="1" applyAlignment="1">
      <alignment horizontal="center"/>
    </xf>
    <xf numFmtId="0" fontId="32" fillId="0" borderId="197" xfId="0" applyFont="1" applyBorder="1" applyAlignment="1">
      <alignment horizontal="center"/>
    </xf>
    <xf numFmtId="0" fontId="32" fillId="0" borderId="198" xfId="0" applyFont="1" applyBorder="1" applyAlignment="1">
      <alignment horizontal="center"/>
    </xf>
    <xf numFmtId="0" fontId="28" fillId="36" borderId="179" xfId="49" applyFont="1" applyFill="1" applyBorder="1" applyAlignment="1" applyProtection="1">
      <alignment horizontal="left" vertical="center" shrinkToFit="1"/>
    </xf>
    <xf numFmtId="0" fontId="28" fillId="33" borderId="102" xfId="49" applyFont="1" applyFill="1" applyBorder="1" applyAlignment="1" applyProtection="1">
      <alignment horizontal="left" vertical="center"/>
    </xf>
    <xf numFmtId="0" fontId="28" fillId="33" borderId="102" xfId="49" applyFont="1" applyFill="1" applyBorder="1" applyAlignment="1" applyProtection="1">
      <alignment horizontal="right" vertical="center"/>
    </xf>
    <xf numFmtId="0" fontId="28" fillId="33" borderId="92" xfId="49" applyFont="1" applyFill="1" applyBorder="1" applyAlignment="1" applyProtection="1">
      <alignment horizontal="left" vertical="center"/>
    </xf>
    <xf numFmtId="0" fontId="28" fillId="33" borderId="150" xfId="49" applyFont="1" applyFill="1" applyBorder="1" applyAlignment="1" applyProtection="1">
      <alignment horizontal="left" vertical="center"/>
    </xf>
    <xf numFmtId="0" fontId="28" fillId="33" borderId="152" xfId="49" applyFont="1" applyFill="1" applyBorder="1" applyAlignment="1" applyProtection="1">
      <alignment horizontal="left" vertical="center"/>
    </xf>
    <xf numFmtId="0" fontId="28" fillId="32" borderId="135" xfId="49" applyFont="1" applyFill="1" applyBorder="1" applyAlignment="1" applyProtection="1">
      <alignment horizontal="right" vertical="center"/>
    </xf>
    <xf numFmtId="0" fontId="28" fillId="32" borderId="136" xfId="49" applyFont="1" applyFill="1" applyBorder="1" applyAlignment="1" applyProtection="1">
      <alignment horizontal="right" vertical="center"/>
    </xf>
    <xf numFmtId="0" fontId="28" fillId="32" borderId="137" xfId="49" applyFont="1" applyFill="1" applyBorder="1" applyAlignment="1" applyProtection="1">
      <alignment horizontal="right" vertical="center"/>
    </xf>
    <xf numFmtId="0" fontId="28" fillId="35" borderId="135" xfId="49" applyFont="1" applyFill="1" applyBorder="1" applyAlignment="1" applyProtection="1">
      <alignment horizontal="center" vertical="center"/>
    </xf>
    <xf numFmtId="0" fontId="28" fillId="35" borderId="136" xfId="49" applyFont="1" applyFill="1" applyBorder="1" applyAlignment="1" applyProtection="1">
      <alignment horizontal="center" vertical="center"/>
    </xf>
    <xf numFmtId="0" fontId="28" fillId="35" borderId="173" xfId="49" applyFont="1" applyFill="1" applyBorder="1" applyAlignment="1" applyProtection="1">
      <alignment horizontal="center" vertical="center"/>
    </xf>
    <xf numFmtId="0" fontId="28" fillId="27" borderId="162" xfId="49" applyFont="1" applyFill="1" applyBorder="1" applyAlignment="1" applyProtection="1">
      <alignment horizontal="center" vertical="center"/>
    </xf>
    <xf numFmtId="0" fontId="28" fillId="27" borderId="137" xfId="49" applyFont="1" applyFill="1" applyBorder="1" applyAlignment="1" applyProtection="1">
      <alignment horizontal="center" vertical="center"/>
    </xf>
    <xf numFmtId="0" fontId="28" fillId="27" borderId="165" xfId="49" applyFont="1" applyFill="1" applyBorder="1" applyAlignment="1" applyProtection="1">
      <alignment horizontal="center" vertical="center"/>
    </xf>
    <xf numFmtId="0" fontId="28" fillId="27" borderId="164" xfId="49" applyFont="1" applyFill="1" applyBorder="1" applyAlignment="1" applyProtection="1">
      <alignment horizontal="center" vertical="center"/>
    </xf>
    <xf numFmtId="0" fontId="28" fillId="33" borderId="156" xfId="49" applyFont="1" applyFill="1" applyBorder="1" applyAlignment="1" applyProtection="1">
      <alignment horizontal="left" vertical="center"/>
    </xf>
    <xf numFmtId="0" fontId="28" fillId="33" borderId="155" xfId="49" applyFont="1" applyFill="1" applyBorder="1" applyAlignment="1" applyProtection="1">
      <alignment horizontal="left" vertical="center"/>
    </xf>
    <xf numFmtId="0" fontId="28" fillId="33" borderId="154" xfId="49" applyFont="1" applyFill="1" applyBorder="1" applyAlignment="1" applyProtection="1">
      <alignment horizontal="left" vertical="center"/>
    </xf>
    <xf numFmtId="0" fontId="29" fillId="0" borderId="11" xfId="49" applyFont="1" applyBorder="1" applyAlignment="1" applyProtection="1">
      <alignment horizontal="left" vertical="center"/>
    </xf>
    <xf numFmtId="0" fontId="28" fillId="0" borderId="91" xfId="49" applyFont="1" applyBorder="1" applyAlignment="1" applyProtection="1">
      <alignment horizontal="right" vertical="center"/>
    </xf>
    <xf numFmtId="0" fontId="28" fillId="0" borderId="150" xfId="49" applyFont="1" applyBorder="1" applyAlignment="1" applyProtection="1">
      <alignment horizontal="right" vertical="center"/>
    </xf>
    <xf numFmtId="0" fontId="29" fillId="0" borderId="91" xfId="49" applyFont="1" applyFill="1" applyBorder="1" applyAlignment="1" applyProtection="1">
      <alignment horizontal="left" vertical="center"/>
    </xf>
    <xf numFmtId="0" fontId="29" fillId="0" borderId="150" xfId="49" applyFont="1" applyFill="1" applyBorder="1" applyAlignment="1" applyProtection="1">
      <alignment horizontal="left" vertical="center"/>
    </xf>
    <xf numFmtId="0" fontId="28" fillId="32" borderId="135" xfId="0" applyFont="1" applyFill="1" applyBorder="1" applyAlignment="1" applyProtection="1">
      <alignment horizontal="right" vertical="center"/>
    </xf>
    <xf numFmtId="0" fontId="28" fillId="32" borderId="136" xfId="0" applyFont="1" applyFill="1" applyBorder="1" applyAlignment="1" applyProtection="1">
      <alignment horizontal="right" vertical="center"/>
    </xf>
    <xf numFmtId="0" fontId="28" fillId="32" borderId="137" xfId="0" applyFont="1" applyFill="1" applyBorder="1" applyAlignment="1" applyProtection="1">
      <alignment horizontal="right" vertical="center"/>
    </xf>
    <xf numFmtId="0" fontId="29" fillId="0" borderId="108" xfId="49" applyFont="1" applyFill="1" applyBorder="1" applyAlignment="1" applyProtection="1">
      <alignment horizontal="left" vertical="center"/>
    </xf>
    <xf numFmtId="0" fontId="29" fillId="0" borderId="155" xfId="49" applyFont="1" applyFill="1" applyBorder="1" applyAlignment="1" applyProtection="1">
      <alignment horizontal="left" vertical="center"/>
    </xf>
    <xf numFmtId="0" fontId="29" fillId="0" borderId="172" xfId="49" applyFont="1" applyFill="1" applyBorder="1" applyAlignment="1" applyProtection="1">
      <alignment horizontal="left" vertical="center"/>
    </xf>
    <xf numFmtId="0" fontId="29" fillId="0" borderId="0" xfId="49" applyFont="1" applyFill="1" applyBorder="1" applyAlignment="1" applyProtection="1">
      <alignment horizontal="left" vertical="center"/>
    </xf>
    <xf numFmtId="0" fontId="28" fillId="32" borderId="162" xfId="49" applyFont="1" applyFill="1" applyBorder="1" applyAlignment="1" applyProtection="1">
      <alignment horizontal="right" vertical="center"/>
    </xf>
    <xf numFmtId="0" fontId="28" fillId="31" borderId="135" xfId="0" applyFont="1" applyFill="1" applyBorder="1" applyAlignment="1" applyProtection="1">
      <alignment horizontal="left" vertical="center"/>
    </xf>
    <xf numFmtId="0" fontId="28" fillId="31" borderId="136" xfId="0" applyFont="1" applyFill="1" applyBorder="1" applyAlignment="1" applyProtection="1">
      <alignment horizontal="left" vertical="center"/>
    </xf>
    <xf numFmtId="0" fontId="28" fillId="31" borderId="173" xfId="0" applyFont="1" applyFill="1" applyBorder="1" applyAlignment="1" applyProtection="1">
      <alignment horizontal="left" vertical="center"/>
    </xf>
    <xf numFmtId="0" fontId="29" fillId="0" borderId="108" xfId="0" applyFont="1" applyBorder="1" applyAlignment="1" applyProtection="1">
      <alignment horizontal="left" vertical="center"/>
    </xf>
    <xf numFmtId="0" fontId="29" fillId="0" borderId="155" xfId="0" applyFont="1" applyBorder="1" applyAlignment="1" applyProtection="1">
      <alignment horizontal="left" vertical="center"/>
    </xf>
    <xf numFmtId="0" fontId="29" fillId="0" borderId="138" xfId="0" applyFont="1" applyBorder="1" applyAlignment="1" applyProtection="1">
      <alignment horizontal="left" vertical="center"/>
    </xf>
    <xf numFmtId="0" fontId="29" fillId="0" borderId="136" xfId="0" applyFont="1" applyBorder="1" applyAlignment="1" applyProtection="1">
      <alignment horizontal="left" vertical="center"/>
    </xf>
    <xf numFmtId="0" fontId="29" fillId="0" borderId="137" xfId="0" applyFont="1" applyBorder="1" applyAlignment="1" applyProtection="1">
      <alignment horizontal="left" vertical="center"/>
    </xf>
    <xf numFmtId="0" fontId="28" fillId="32" borderId="162" xfId="0" applyFont="1" applyFill="1" applyBorder="1" applyAlignment="1" applyProtection="1">
      <alignment horizontal="right" vertical="center"/>
    </xf>
    <xf numFmtId="0" fontId="28" fillId="31" borderId="135" xfId="49" applyFont="1" applyFill="1" applyBorder="1" applyAlignment="1" applyProtection="1">
      <alignment horizontal="left" vertical="center"/>
    </xf>
    <xf numFmtId="0" fontId="28" fillId="31" borderId="136" xfId="49" applyFont="1" applyFill="1" applyBorder="1" applyAlignment="1" applyProtection="1">
      <alignment horizontal="left" vertical="center"/>
    </xf>
    <xf numFmtId="0" fontId="28" fillId="31" borderId="173" xfId="49" applyFont="1" applyFill="1" applyBorder="1" applyAlignment="1" applyProtection="1">
      <alignment horizontal="left" vertical="center"/>
    </xf>
    <xf numFmtId="0" fontId="41" fillId="0" borderId="57" xfId="0" applyFont="1" applyBorder="1" applyAlignment="1" applyProtection="1">
      <alignment horizontal="left" vertical="center"/>
    </xf>
    <xf numFmtId="0" fontId="41" fillId="0" borderId="0" xfId="0" applyFont="1" applyBorder="1" applyAlignment="1" applyProtection="1">
      <alignment horizontal="left" vertical="center"/>
    </xf>
    <xf numFmtId="0" fontId="29" fillId="0" borderId="91" xfId="0" applyFont="1" applyBorder="1" applyAlignment="1" applyProtection="1">
      <alignment horizontal="left" vertical="center"/>
    </xf>
    <xf numFmtId="0" fontId="29" fillId="0" borderId="150" xfId="0" applyFont="1" applyBorder="1" applyAlignment="1" applyProtection="1">
      <alignment horizontal="left" vertical="center"/>
    </xf>
    <xf numFmtId="0" fontId="41" fillId="0" borderId="108" xfId="0" applyFont="1" applyBorder="1" applyAlignment="1" applyProtection="1">
      <alignment horizontal="left" vertical="center"/>
    </xf>
    <xf numFmtId="0" fontId="41" fillId="0" borderId="155" xfId="0" applyFont="1" applyBorder="1" applyAlignment="1" applyProtection="1">
      <alignment horizontal="left" vertical="center"/>
    </xf>
    <xf numFmtId="0" fontId="29" fillId="0" borderId="172" xfId="0" applyFont="1" applyBorder="1" applyAlignment="1" applyProtection="1">
      <alignment vertical="center"/>
    </xf>
    <xf numFmtId="0" fontId="29" fillId="0" borderId="91" xfId="0" applyFont="1" applyBorder="1" applyAlignment="1" applyProtection="1">
      <alignment vertical="center"/>
    </xf>
    <xf numFmtId="0" fontId="29" fillId="0" borderId="150" xfId="0" applyFont="1" applyBorder="1" applyAlignment="1" applyProtection="1">
      <alignment vertical="center"/>
    </xf>
    <xf numFmtId="0" fontId="28" fillId="32" borderId="138" xfId="49" applyFont="1" applyFill="1" applyBorder="1" applyAlignment="1" applyProtection="1">
      <alignment horizontal="right" vertical="center"/>
    </xf>
    <xf numFmtId="0" fontId="29" fillId="0" borderId="108" xfId="49" applyFont="1" applyBorder="1" applyAlignment="1" applyProtection="1">
      <alignment vertical="center"/>
    </xf>
    <xf numFmtId="0" fontId="29" fillId="0" borderId="155" xfId="49" applyFont="1" applyBorder="1" applyAlignment="1" applyProtection="1">
      <alignment vertical="center"/>
    </xf>
    <xf numFmtId="0" fontId="29" fillId="0" borderId="152" xfId="0" applyFont="1" applyBorder="1" applyAlignment="1" applyProtection="1">
      <alignment horizontal="left" vertical="center"/>
    </xf>
    <xf numFmtId="0" fontId="28" fillId="0" borderId="136" xfId="0" applyFont="1" applyBorder="1" applyAlignment="1" applyProtection="1">
      <alignment horizontal="right" vertical="center"/>
      <protection locked="0"/>
    </xf>
    <xf numFmtId="0" fontId="29" fillId="0" borderId="154" xfId="0" applyFont="1" applyBorder="1" applyAlignment="1" applyProtection="1">
      <alignment horizontal="left" vertical="center"/>
    </xf>
    <xf numFmtId="0" fontId="28" fillId="32" borderId="165" xfId="49" applyFont="1" applyFill="1" applyBorder="1" applyAlignment="1" applyProtection="1">
      <alignment horizontal="right" vertical="center"/>
    </xf>
    <xf numFmtId="0" fontId="28" fillId="31" borderId="165" xfId="49" applyFont="1" applyFill="1" applyBorder="1" applyAlignment="1" applyProtection="1">
      <alignment horizontal="center" vertical="center"/>
    </xf>
    <xf numFmtId="0" fontId="29" fillId="0" borderId="169" xfId="0" applyFont="1" applyBorder="1" applyAlignment="1" applyProtection="1">
      <alignment horizontal="left" vertical="center"/>
    </xf>
    <xf numFmtId="0" fontId="29" fillId="0" borderId="175" xfId="0" applyFont="1" applyBorder="1" applyAlignment="1" applyProtection="1">
      <alignment horizontal="left" vertical="center"/>
    </xf>
    <xf numFmtId="0" fontId="29" fillId="0" borderId="135" xfId="49" applyFont="1" applyBorder="1" applyAlignment="1" applyProtection="1">
      <alignment horizontal="right" vertical="center" wrapText="1"/>
    </xf>
    <xf numFmtId="0" fontId="29" fillId="0" borderId="136" xfId="49" applyFont="1" applyBorder="1" applyAlignment="1" applyProtection="1">
      <alignment horizontal="right" vertical="center" wrapText="1"/>
    </xf>
    <xf numFmtId="0" fontId="29" fillId="0" borderId="137" xfId="49" applyFont="1" applyBorder="1" applyAlignment="1" applyProtection="1">
      <alignment horizontal="right" vertical="center" wrapText="1"/>
    </xf>
    <xf numFmtId="0" fontId="28" fillId="0" borderId="91" xfId="49" applyFont="1" applyBorder="1" applyAlignment="1" applyProtection="1">
      <alignment horizontal="center" vertical="center" wrapText="1"/>
    </xf>
    <xf numFmtId="0" fontId="28" fillId="0" borderId="93" xfId="49" applyFont="1" applyBorder="1" applyAlignment="1" applyProtection="1">
      <alignment horizontal="center" vertical="center" wrapText="1"/>
    </xf>
    <xf numFmtId="0" fontId="28" fillId="0" borderId="135" xfId="49" applyFont="1" applyBorder="1" applyAlignment="1" applyProtection="1">
      <alignment horizontal="center" vertical="center" wrapText="1"/>
    </xf>
    <xf numFmtId="0" fontId="28" fillId="0" borderId="136" xfId="49" applyFont="1" applyBorder="1" applyAlignment="1" applyProtection="1">
      <alignment horizontal="center" vertical="center" wrapText="1"/>
    </xf>
    <xf numFmtId="0" fontId="28" fillId="0" borderId="173" xfId="49" applyFont="1" applyBorder="1" applyAlignment="1" applyProtection="1">
      <alignment horizontal="center" vertical="center" wrapText="1"/>
    </xf>
    <xf numFmtId="0" fontId="29" fillId="0" borderId="135" xfId="49" applyFont="1" applyBorder="1" applyAlignment="1" applyProtection="1">
      <alignment horizontal="right" vertical="center"/>
    </xf>
    <xf numFmtId="0" fontId="29" fillId="0" borderId="136" xfId="49" applyFont="1" applyBorder="1" applyAlignment="1" applyProtection="1">
      <alignment horizontal="right" vertical="center"/>
    </xf>
    <xf numFmtId="0" fontId="29" fillId="0" borderId="137" xfId="49" applyFont="1" applyBorder="1" applyAlignment="1" applyProtection="1">
      <alignment horizontal="right" vertical="center"/>
    </xf>
    <xf numFmtId="0" fontId="28" fillId="28" borderId="57" xfId="49" applyFont="1" applyFill="1" applyBorder="1" applyAlignment="1" applyProtection="1">
      <alignment horizontal="center" vertical="center" wrapText="1"/>
    </xf>
    <xf numFmtId="0" fontId="28" fillId="28" borderId="35" xfId="49" applyFont="1" applyFill="1" applyBorder="1" applyAlignment="1" applyProtection="1">
      <alignment horizontal="center" vertical="center" wrapText="1"/>
    </xf>
    <xf numFmtId="0" fontId="47" fillId="28" borderId="57" xfId="49" applyFont="1" applyFill="1" applyBorder="1" applyAlignment="1" applyProtection="1">
      <alignment horizontal="center" vertical="center"/>
    </xf>
    <xf numFmtId="0" fontId="47" fillId="28" borderId="35" xfId="49" applyFont="1" applyFill="1" applyBorder="1" applyAlignment="1" applyProtection="1">
      <alignment horizontal="center" vertical="center"/>
    </xf>
    <xf numFmtId="168" fontId="28" fillId="29" borderId="57" xfId="31" applyNumberFormat="1" applyFont="1" applyFill="1" applyBorder="1" applyAlignment="1" applyProtection="1">
      <alignment horizontal="center" vertical="center"/>
    </xf>
    <xf numFmtId="168" fontId="28" fillId="29" borderId="35" xfId="31" applyNumberFormat="1" applyFont="1" applyFill="1" applyBorder="1" applyAlignment="1" applyProtection="1">
      <alignment horizontal="center" vertical="center"/>
    </xf>
    <xf numFmtId="0" fontId="28" fillId="0" borderId="136" xfId="49" applyFont="1" applyBorder="1" applyAlignment="1" applyProtection="1">
      <alignment horizontal="center" vertical="center"/>
    </xf>
    <xf numFmtId="0" fontId="28" fillId="0" borderId="173" xfId="49" applyFont="1" applyBorder="1" applyAlignment="1" applyProtection="1">
      <alignment horizontal="center" vertical="center"/>
    </xf>
    <xf numFmtId="168" fontId="28" fillId="0" borderId="108" xfId="31" applyNumberFormat="1" applyFont="1" applyBorder="1" applyAlignment="1" applyProtection="1">
      <alignment horizontal="center" vertical="center"/>
    </xf>
    <xf numFmtId="168" fontId="28" fillId="0" borderId="174" xfId="31" applyNumberFormat="1" applyFont="1" applyBorder="1" applyAlignment="1" applyProtection="1">
      <alignment horizontal="center" vertical="center"/>
    </xf>
    <xf numFmtId="0" fontId="28" fillId="0" borderId="138" xfId="49" applyFont="1" applyBorder="1" applyAlignment="1" applyProtection="1">
      <alignment horizontal="center" vertical="center" wrapText="1"/>
    </xf>
    <xf numFmtId="0" fontId="28" fillId="0" borderId="156" xfId="49" applyFont="1" applyBorder="1" applyAlignment="1" applyProtection="1">
      <alignment horizontal="justify" vertical="center" wrapText="1"/>
    </xf>
    <xf numFmtId="0" fontId="28" fillId="0" borderId="155" xfId="49" applyFont="1" applyBorder="1" applyAlignment="1" applyProtection="1">
      <alignment horizontal="justify" vertical="center" wrapText="1"/>
    </xf>
    <xf numFmtId="0" fontId="28" fillId="0" borderId="174" xfId="49" applyFont="1" applyBorder="1" applyAlignment="1" applyProtection="1">
      <alignment horizontal="justify" vertical="center" wrapText="1"/>
    </xf>
    <xf numFmtId="0" fontId="28" fillId="0" borderId="92" xfId="49" applyFont="1" applyBorder="1" applyAlignment="1" applyProtection="1">
      <alignment horizontal="justify" vertical="center" wrapText="1"/>
    </xf>
    <xf numFmtId="0" fontId="28" fillId="0" borderId="150" xfId="49" applyFont="1" applyBorder="1" applyAlignment="1" applyProtection="1">
      <alignment horizontal="justify" vertical="center" wrapText="1"/>
    </xf>
    <xf numFmtId="0" fontId="28" fillId="0" borderId="93" xfId="49" applyFont="1" applyBorder="1" applyAlignment="1" applyProtection="1">
      <alignment horizontal="justify" vertical="center" wrapText="1"/>
    </xf>
    <xf numFmtId="0" fontId="28" fillId="0" borderId="95" xfId="49" applyFont="1" applyBorder="1" applyAlignment="1" applyProtection="1">
      <alignment horizontal="left" vertical="center"/>
    </xf>
    <xf numFmtId="0" fontId="28" fillId="0" borderId="148" xfId="49" applyFont="1" applyBorder="1" applyAlignment="1" applyProtection="1">
      <alignment horizontal="left" vertical="center"/>
    </xf>
    <xf numFmtId="0" fontId="28" fillId="0" borderId="95" xfId="49" applyFont="1" applyBorder="1" applyAlignment="1" applyProtection="1">
      <alignment horizontal="center" vertical="center"/>
    </xf>
    <xf numFmtId="0" fontId="28" fillId="0" borderId="149" xfId="49" applyFont="1" applyBorder="1" applyAlignment="1" applyProtection="1">
      <alignment horizontal="center" vertical="center"/>
    </xf>
    <xf numFmtId="0" fontId="28" fillId="27" borderId="162" xfId="49" applyFont="1" applyFill="1" applyBorder="1" applyAlignment="1" applyProtection="1">
      <alignment horizontal="center" vertical="center" wrapText="1"/>
    </xf>
    <xf numFmtId="0" fontId="28" fillId="27" borderId="137" xfId="49" applyFont="1" applyFill="1" applyBorder="1" applyAlignment="1" applyProtection="1">
      <alignment horizontal="center" vertical="center" wrapText="1"/>
    </xf>
    <xf numFmtId="0" fontId="28" fillId="27" borderId="165" xfId="49" applyFont="1" applyFill="1" applyBorder="1" applyAlignment="1" applyProtection="1">
      <alignment horizontal="center" vertical="center" wrapText="1"/>
    </xf>
    <xf numFmtId="0" fontId="28" fillId="27" borderId="164" xfId="49" applyFont="1" applyFill="1" applyBorder="1" applyAlignment="1" applyProtection="1">
      <alignment horizontal="center" vertical="center" wrapText="1"/>
    </xf>
    <xf numFmtId="0" fontId="28" fillId="45" borderId="135" xfId="0" applyFont="1" applyFill="1" applyBorder="1" applyAlignment="1">
      <alignment horizontal="right" vertical="center"/>
    </xf>
    <xf numFmtId="0" fontId="28" fillId="45" borderId="136" xfId="0" applyFont="1" applyFill="1" applyBorder="1" applyAlignment="1">
      <alignment horizontal="right" vertical="center"/>
    </xf>
    <xf numFmtId="0" fontId="28" fillId="45" borderId="137" xfId="0" applyFont="1" applyFill="1" applyBorder="1" applyAlignment="1">
      <alignment horizontal="right" vertical="center"/>
    </xf>
    <xf numFmtId="0" fontId="32" fillId="43" borderId="161" xfId="0" applyFont="1" applyFill="1" applyBorder="1" applyAlignment="1">
      <alignment horizontal="right" vertical="center"/>
    </xf>
    <xf numFmtId="0" fontId="32" fillId="43" borderId="160" xfId="0" applyFont="1" applyFill="1" applyBorder="1" applyAlignment="1">
      <alignment horizontal="right" vertical="center"/>
    </xf>
    <xf numFmtId="0" fontId="32" fillId="43" borderId="193" xfId="0" applyFont="1" applyFill="1" applyBorder="1" applyAlignment="1">
      <alignment horizontal="right" vertical="center"/>
    </xf>
    <xf numFmtId="0" fontId="32" fillId="43" borderId="194" xfId="0" applyFont="1" applyFill="1" applyBorder="1" applyAlignment="1">
      <alignment horizontal="right" vertical="center"/>
    </xf>
    <xf numFmtId="0" fontId="32" fillId="43" borderId="238" xfId="0" applyFont="1" applyFill="1" applyBorder="1" applyAlignment="1">
      <alignment horizontal="right" vertical="center"/>
    </xf>
    <xf numFmtId="0" fontId="32" fillId="43" borderId="248" xfId="0" applyFont="1" applyFill="1" applyBorder="1" applyAlignment="1">
      <alignment horizontal="right" vertical="center"/>
    </xf>
    <xf numFmtId="0" fontId="32" fillId="43" borderId="44" xfId="0" applyFont="1" applyFill="1" applyBorder="1" applyAlignment="1">
      <alignment horizontal="right" vertical="center"/>
    </xf>
    <xf numFmtId="0" fontId="32" fillId="43" borderId="63" xfId="0" applyFont="1" applyFill="1" applyBorder="1" applyAlignment="1">
      <alignment horizontal="right" vertical="center"/>
    </xf>
    <xf numFmtId="0" fontId="32" fillId="43" borderId="231" xfId="0" applyFont="1" applyFill="1" applyBorder="1" applyAlignment="1">
      <alignment horizontal="right" vertical="center"/>
    </xf>
    <xf numFmtId="0" fontId="32" fillId="43" borderId="232" xfId="0" applyFont="1" applyFill="1" applyBorder="1" applyAlignment="1">
      <alignment horizontal="right" vertical="center"/>
    </xf>
    <xf numFmtId="0" fontId="32" fillId="56" borderId="203" xfId="0" applyFont="1" applyFill="1" applyBorder="1" applyAlignment="1">
      <alignment horizontal="right" vertical="center"/>
    </xf>
    <xf numFmtId="0" fontId="32" fillId="56" borderId="204" xfId="0" applyFont="1" applyFill="1" applyBorder="1" applyAlignment="1">
      <alignment horizontal="right" vertical="center"/>
    </xf>
    <xf numFmtId="0" fontId="32" fillId="56" borderId="44" xfId="0" applyFont="1" applyFill="1" applyBorder="1" applyAlignment="1">
      <alignment horizontal="right" vertical="center"/>
    </xf>
    <xf numFmtId="0" fontId="32" fillId="56" borderId="63" xfId="0" applyFont="1" applyFill="1" applyBorder="1" applyAlignment="1">
      <alignment horizontal="right" vertical="center"/>
    </xf>
    <xf numFmtId="0" fontId="32" fillId="52" borderId="203" xfId="0" applyFont="1" applyFill="1" applyBorder="1" applyAlignment="1">
      <alignment horizontal="right" vertical="center"/>
    </xf>
    <xf numFmtId="0" fontId="32" fillId="52" borderId="204" xfId="0" applyFont="1" applyFill="1" applyBorder="1" applyAlignment="1">
      <alignment horizontal="right" vertical="center"/>
    </xf>
    <xf numFmtId="0" fontId="28" fillId="45" borderId="234" xfId="0" applyFont="1" applyFill="1" applyBorder="1" applyAlignment="1">
      <alignment horizontal="right" vertical="center"/>
    </xf>
    <xf numFmtId="0" fontId="28" fillId="45" borderId="262" xfId="0" applyFont="1" applyFill="1" applyBorder="1" applyAlignment="1">
      <alignment horizontal="right" vertical="center"/>
    </xf>
    <xf numFmtId="0" fontId="28" fillId="45" borderId="261" xfId="0" applyFont="1" applyFill="1" applyBorder="1" applyAlignment="1">
      <alignment horizontal="right" vertical="center"/>
    </xf>
    <xf numFmtId="1" fontId="33" fillId="42" borderId="183" xfId="0" applyNumberFormat="1" applyFont="1" applyFill="1" applyBorder="1" applyAlignment="1">
      <alignment horizontal="center" vertical="center"/>
    </xf>
    <xf numFmtId="1" fontId="33" fillId="42" borderId="35" xfId="0" applyNumberFormat="1" applyFont="1" applyFill="1" applyBorder="1" applyAlignment="1">
      <alignment horizontal="center" vertical="center"/>
    </xf>
    <xf numFmtId="1" fontId="33" fillId="42" borderId="239" xfId="0" applyNumberFormat="1" applyFont="1" applyFill="1" applyBorder="1" applyAlignment="1">
      <alignment horizontal="center" vertical="center"/>
    </xf>
    <xf numFmtId="0" fontId="43" fillId="42" borderId="254" xfId="0" applyFont="1" applyFill="1" applyBorder="1" applyAlignment="1" applyProtection="1">
      <alignment horizontal="left" vertical="center" wrapText="1"/>
    </xf>
    <xf numFmtId="0" fontId="43" fillId="42" borderId="238" xfId="0" applyFont="1" applyFill="1" applyBorder="1" applyAlignment="1" applyProtection="1">
      <alignment horizontal="left" vertical="center" wrapText="1"/>
    </xf>
    <xf numFmtId="0" fontId="43" fillId="42" borderId="239" xfId="0" applyFont="1" applyFill="1" applyBorder="1" applyAlignment="1" applyProtection="1">
      <alignment horizontal="left" vertical="center" wrapText="1"/>
    </xf>
    <xf numFmtId="0" fontId="32" fillId="52" borderId="320" xfId="0" applyFont="1" applyFill="1" applyBorder="1" applyAlignment="1">
      <alignment horizontal="right" vertical="center"/>
    </xf>
    <xf numFmtId="0" fontId="32" fillId="52" borderId="321" xfId="0" applyFont="1" applyFill="1" applyBorder="1" applyAlignment="1">
      <alignment horizontal="right" vertical="center"/>
    </xf>
    <xf numFmtId="0" fontId="32" fillId="0" borderId="185" xfId="0" applyFont="1" applyBorder="1" applyAlignment="1">
      <alignment horizontal="left" vertical="center"/>
    </xf>
    <xf numFmtId="0" fontId="33" fillId="42" borderId="185" xfId="0" applyFont="1" applyFill="1" applyBorder="1" applyAlignment="1" applyProtection="1">
      <alignment horizontal="left" vertical="center"/>
    </xf>
    <xf numFmtId="0" fontId="32" fillId="42" borderId="185" xfId="0" applyFont="1" applyFill="1" applyBorder="1" applyAlignment="1" applyProtection="1">
      <alignment horizontal="left" vertical="center" wrapText="1"/>
    </xf>
    <xf numFmtId="0" fontId="32" fillId="42" borderId="185" xfId="0" applyFont="1" applyFill="1" applyBorder="1" applyAlignment="1" applyProtection="1">
      <alignment horizontal="left" vertical="center"/>
    </xf>
    <xf numFmtId="0" fontId="32" fillId="43" borderId="285" xfId="0" applyFont="1" applyFill="1" applyBorder="1" applyAlignment="1">
      <alignment horizontal="right" vertical="center"/>
    </xf>
    <xf numFmtId="0" fontId="32" fillId="43" borderId="286" xfId="0" applyFont="1" applyFill="1" applyBorder="1" applyAlignment="1">
      <alignment horizontal="right" vertical="center"/>
    </xf>
    <xf numFmtId="0" fontId="32" fillId="43" borderId="305" xfId="0" applyFont="1" applyFill="1" applyBorder="1" applyAlignment="1">
      <alignment horizontal="right" vertical="center"/>
    </xf>
    <xf numFmtId="0" fontId="32" fillId="43" borderId="306" xfId="0" applyFont="1" applyFill="1" applyBorder="1" applyAlignment="1">
      <alignment horizontal="right" vertical="center"/>
    </xf>
    <xf numFmtId="0" fontId="32" fillId="64" borderId="320" xfId="0" applyFont="1" applyFill="1" applyBorder="1" applyAlignment="1">
      <alignment horizontal="right" vertical="center"/>
    </xf>
    <xf numFmtId="0" fontId="32" fillId="64" borderId="321" xfId="0" applyFont="1" applyFill="1" applyBorder="1" applyAlignment="1">
      <alignment horizontal="right" vertical="center"/>
    </xf>
    <xf numFmtId="0" fontId="28" fillId="43" borderId="293" xfId="0" applyFont="1" applyFill="1" applyBorder="1" applyAlignment="1" applyProtection="1">
      <alignment horizontal="center" vertical="center" wrapText="1"/>
    </xf>
    <xf numFmtId="0" fontId="28" fillId="43" borderId="294" xfId="0" applyFont="1" applyFill="1" applyBorder="1" applyAlignment="1" applyProtection="1">
      <alignment horizontal="center" vertical="center" wrapText="1"/>
    </xf>
    <xf numFmtId="0" fontId="32" fillId="43" borderId="308" xfId="0" applyFont="1" applyFill="1" applyBorder="1" applyAlignment="1">
      <alignment horizontal="right" vertical="center"/>
    </xf>
    <xf numFmtId="0" fontId="32" fillId="43" borderId="309" xfId="0" applyFont="1" applyFill="1" applyBorder="1" applyAlignment="1">
      <alignment horizontal="right" vertical="center"/>
    </xf>
    <xf numFmtId="0" fontId="28" fillId="43" borderId="310" xfId="0" applyFont="1" applyFill="1" applyBorder="1" applyAlignment="1">
      <alignment horizontal="center" vertical="center"/>
    </xf>
    <xf numFmtId="0" fontId="28" fillId="43" borderId="313" xfId="0" applyFont="1" applyFill="1" applyBorder="1" applyAlignment="1">
      <alignment horizontal="center" vertical="center"/>
    </xf>
    <xf numFmtId="0" fontId="28" fillId="43" borderId="311" xfId="0" applyFont="1" applyFill="1" applyBorder="1" applyAlignment="1">
      <alignment horizontal="center" vertical="center" wrapText="1"/>
    </xf>
    <xf numFmtId="0" fontId="28" fillId="43" borderId="314" xfId="0" applyFont="1" applyFill="1" applyBorder="1" applyAlignment="1">
      <alignment horizontal="center" vertical="center" wrapText="1"/>
    </xf>
    <xf numFmtId="0" fontId="28" fillId="43" borderId="311" xfId="0" applyFont="1" applyFill="1" applyBorder="1" applyAlignment="1">
      <alignment horizontal="center" vertical="center"/>
    </xf>
    <xf numFmtId="0" fontId="28" fillId="43" borderId="314" xfId="0" applyFont="1" applyFill="1" applyBorder="1" applyAlignment="1">
      <alignment horizontal="center" vertical="center"/>
    </xf>
    <xf numFmtId="0" fontId="28" fillId="43" borderId="312" xfId="0" applyFont="1" applyFill="1" applyBorder="1" applyAlignment="1">
      <alignment horizontal="center" vertical="center" wrapText="1"/>
    </xf>
    <xf numFmtId="0" fontId="28" fillId="43" borderId="315" xfId="0" applyFont="1" applyFill="1" applyBorder="1" applyAlignment="1">
      <alignment horizontal="center" vertical="center" wrapText="1"/>
    </xf>
    <xf numFmtId="0" fontId="32" fillId="43" borderId="268" xfId="0" applyFont="1" applyFill="1" applyBorder="1" applyAlignment="1">
      <alignment horizontal="right" vertical="center"/>
    </xf>
    <xf numFmtId="0" fontId="28" fillId="43" borderId="292" xfId="0" applyFont="1" applyFill="1" applyBorder="1" applyAlignment="1" applyProtection="1">
      <alignment horizontal="center" vertical="center" wrapText="1"/>
    </xf>
    <xf numFmtId="0" fontId="28" fillId="45" borderId="235" xfId="0" applyFont="1" applyFill="1" applyBorder="1" applyAlignment="1">
      <alignment horizontal="right" vertical="center"/>
    </xf>
    <xf numFmtId="0" fontId="28" fillId="45" borderId="237" xfId="0" applyFont="1" applyFill="1" applyBorder="1" applyAlignment="1">
      <alignment horizontal="right" vertical="center"/>
    </xf>
    <xf numFmtId="0" fontId="28" fillId="45" borderId="259" xfId="0" applyFont="1" applyFill="1" applyBorder="1" applyAlignment="1">
      <alignment horizontal="right" vertical="center"/>
    </xf>
    <xf numFmtId="0" fontId="32" fillId="43" borderId="288" xfId="0" applyFont="1" applyFill="1" applyBorder="1" applyAlignment="1">
      <alignment horizontal="right" vertical="center"/>
    </xf>
    <xf numFmtId="0" fontId="32" fillId="43" borderId="289" xfId="0" applyFont="1" applyFill="1" applyBorder="1" applyAlignment="1">
      <alignment horizontal="right" vertical="center"/>
    </xf>
    <xf numFmtId="0" fontId="32" fillId="0" borderId="200" xfId="0" applyFont="1" applyBorder="1" applyAlignment="1" applyProtection="1">
      <alignment horizontal="center" vertical="center" wrapText="1"/>
    </xf>
    <xf numFmtId="0" fontId="32" fillId="0" borderId="178" xfId="0" applyFont="1" applyBorder="1" applyAlignment="1" applyProtection="1">
      <alignment horizontal="center" vertical="center" wrapText="1"/>
    </xf>
    <xf numFmtId="0" fontId="32" fillId="0" borderId="183" xfId="0" applyFont="1" applyBorder="1" applyAlignment="1" applyProtection="1">
      <alignment horizontal="center" vertical="center" wrapText="1"/>
    </xf>
    <xf numFmtId="0" fontId="32" fillId="39" borderId="254" xfId="49" applyFont="1" applyFill="1" applyBorder="1" applyAlignment="1" applyProtection="1">
      <alignment horizontal="center" vertical="center"/>
    </xf>
    <xf numFmtId="0" fontId="32" fillId="39" borderId="268" xfId="49" applyFont="1" applyFill="1" applyBorder="1" applyAlignment="1" applyProtection="1">
      <alignment horizontal="center" vertical="center"/>
    </xf>
    <xf numFmtId="0" fontId="32" fillId="39" borderId="239" xfId="49" applyFont="1" applyFill="1" applyBorder="1" applyAlignment="1" applyProtection="1">
      <alignment horizontal="center" vertical="center"/>
    </xf>
    <xf numFmtId="0" fontId="32" fillId="0" borderId="202" xfId="33" applyFont="1" applyBorder="1" applyAlignment="1">
      <alignment horizontal="center" vertical="center" wrapText="1"/>
    </xf>
    <xf numFmtId="0" fontId="32" fillId="0" borderId="243" xfId="33" applyFont="1" applyBorder="1" applyAlignment="1">
      <alignment horizontal="center" vertical="center" wrapText="1"/>
    </xf>
    <xf numFmtId="0" fontId="32" fillId="0" borderId="253" xfId="33" applyFont="1" applyBorder="1" applyAlignment="1">
      <alignment horizontal="center" vertical="center" wrapText="1"/>
    </xf>
    <xf numFmtId="0" fontId="32" fillId="22" borderId="185" xfId="0" applyFont="1" applyFill="1" applyBorder="1" applyAlignment="1" applyProtection="1">
      <alignment horizontal="center" vertical="center" wrapText="1"/>
      <protection locked="0"/>
    </xf>
    <xf numFmtId="0" fontId="32" fillId="0" borderId="202" xfId="0" applyFont="1" applyBorder="1" applyAlignment="1">
      <alignment horizontal="center"/>
    </xf>
    <xf numFmtId="0" fontId="32" fillId="0" borderId="243" xfId="0" applyFont="1" applyBorder="1" applyAlignment="1">
      <alignment horizontal="center"/>
    </xf>
    <xf numFmtId="0" fontId="32" fillId="0" borderId="253" xfId="0" applyFont="1" applyBorder="1" applyAlignment="1">
      <alignment horizontal="center"/>
    </xf>
    <xf numFmtId="1" fontId="33" fillId="42" borderId="271" xfId="0" applyNumberFormat="1" applyFont="1" applyFill="1" applyBorder="1" applyAlignment="1">
      <alignment horizontal="center" vertical="center"/>
    </xf>
    <xf numFmtId="1" fontId="33" fillId="42" borderId="265" xfId="0" applyNumberFormat="1" applyFont="1" applyFill="1" applyBorder="1" applyAlignment="1">
      <alignment horizontal="center" vertical="center"/>
    </xf>
    <xf numFmtId="0" fontId="28" fillId="45" borderId="245" xfId="0" applyFont="1" applyFill="1" applyBorder="1" applyAlignment="1">
      <alignment horizontal="right" vertical="center"/>
    </xf>
    <xf numFmtId="0" fontId="28" fillId="45" borderId="246" xfId="0" applyFont="1" applyFill="1" applyBorder="1" applyAlignment="1">
      <alignment horizontal="right" vertical="center"/>
    </xf>
    <xf numFmtId="0" fontId="28" fillId="45" borderId="214" xfId="0" applyFont="1" applyFill="1" applyBorder="1" applyAlignment="1">
      <alignment horizontal="right" vertical="center"/>
    </xf>
    <xf numFmtId="0" fontId="28" fillId="45" borderId="215" xfId="0" applyFont="1" applyFill="1" applyBorder="1" applyAlignment="1">
      <alignment horizontal="right" vertical="center"/>
    </xf>
    <xf numFmtId="0" fontId="33" fillId="72" borderId="320" xfId="0" applyFont="1" applyFill="1" applyBorder="1" applyAlignment="1">
      <alignment horizontal="right" vertical="center"/>
    </xf>
    <xf numFmtId="0" fontId="33" fillId="72" borderId="321" xfId="0" applyFont="1" applyFill="1" applyBorder="1" applyAlignment="1">
      <alignment horizontal="right" vertical="center"/>
    </xf>
    <xf numFmtId="0" fontId="33" fillId="72" borderId="354" xfId="0" applyFont="1" applyFill="1" applyBorder="1" applyAlignment="1">
      <alignment horizontal="right" vertical="center"/>
    </xf>
    <xf numFmtId="0" fontId="33" fillId="72" borderId="323" xfId="0" applyFont="1" applyFill="1" applyBorder="1" applyAlignment="1">
      <alignment horizontal="right" vertical="center"/>
    </xf>
    <xf numFmtId="0" fontId="32" fillId="51" borderId="354" xfId="0" applyFont="1" applyFill="1" applyBorder="1" applyAlignment="1">
      <alignment horizontal="right" vertical="center"/>
    </xf>
    <xf numFmtId="0" fontId="32" fillId="51" borderId="355" xfId="0" applyFont="1" applyFill="1" applyBorder="1" applyAlignment="1">
      <alignment horizontal="right" vertical="center"/>
    </xf>
    <xf numFmtId="0" fontId="32" fillId="49" borderId="326" xfId="0" applyFont="1" applyFill="1" applyBorder="1" applyAlignment="1">
      <alignment horizontal="center" vertical="center"/>
    </xf>
    <xf numFmtId="0" fontId="32" fillId="49" borderId="327" xfId="0" applyFont="1" applyFill="1" applyBorder="1" applyAlignment="1">
      <alignment horizontal="center" vertical="center"/>
    </xf>
    <xf numFmtId="0" fontId="32" fillId="49" borderId="328" xfId="0" applyFont="1" applyFill="1" applyBorder="1" applyAlignment="1">
      <alignment horizontal="center" vertical="center"/>
    </xf>
    <xf numFmtId="0" fontId="32" fillId="0" borderId="329" xfId="0" applyFont="1" applyFill="1" applyBorder="1" applyAlignment="1">
      <alignment horizontal="center" vertical="center"/>
    </xf>
    <xf numFmtId="0" fontId="32" fillId="0" borderId="330" xfId="0" applyFont="1" applyFill="1" applyBorder="1" applyAlignment="1">
      <alignment horizontal="center" vertical="center"/>
    </xf>
    <xf numFmtId="0" fontId="32" fillId="0" borderId="331" xfId="0" applyFont="1" applyFill="1" applyBorder="1" applyAlignment="1">
      <alignment horizontal="center" vertical="center"/>
    </xf>
    <xf numFmtId="0" fontId="32" fillId="45" borderId="71" xfId="0" applyFont="1" applyFill="1" applyBorder="1" applyAlignment="1">
      <alignment horizontal="right" vertical="center"/>
    </xf>
    <xf numFmtId="0" fontId="32" fillId="45" borderId="359" xfId="0" applyFont="1" applyFill="1" applyBorder="1" applyAlignment="1">
      <alignment horizontal="right" vertical="center"/>
    </xf>
    <xf numFmtId="0" fontId="32" fillId="45" borderId="360" xfId="0" applyFont="1" applyFill="1" applyBorder="1" applyAlignment="1">
      <alignment horizontal="right" vertical="center"/>
    </xf>
    <xf numFmtId="0" fontId="32" fillId="58" borderId="44" xfId="0" applyFont="1" applyFill="1" applyBorder="1" applyAlignment="1">
      <alignment horizontal="right" vertical="center"/>
    </xf>
    <xf numFmtId="0" fontId="32" fillId="58" borderId="63" xfId="0" applyFont="1" applyFill="1" applyBorder="1" applyAlignment="1">
      <alignment horizontal="right" vertical="center"/>
    </xf>
    <xf numFmtId="0" fontId="32" fillId="58" borderId="100" xfId="0" applyFont="1" applyFill="1" applyBorder="1" applyAlignment="1">
      <alignment horizontal="right" vertical="center"/>
    </xf>
    <xf numFmtId="0" fontId="32" fillId="64" borderId="326" xfId="0" applyFont="1" applyFill="1" applyBorder="1" applyAlignment="1">
      <alignment horizontal="right" vertical="center"/>
    </xf>
    <xf numFmtId="0" fontId="32" fillId="64" borderId="327" xfId="0" applyFont="1" applyFill="1" applyBorder="1" applyAlignment="1">
      <alignment horizontal="right" vertical="center"/>
    </xf>
    <xf numFmtId="0" fontId="32" fillId="59" borderId="326" xfId="0" applyFont="1" applyFill="1" applyBorder="1" applyAlignment="1">
      <alignment horizontal="right" vertical="center"/>
    </xf>
    <xf numFmtId="0" fontId="32" fillId="59" borderId="327" xfId="0" applyFont="1" applyFill="1" applyBorder="1" applyAlignment="1">
      <alignment horizontal="right" vertical="center"/>
    </xf>
    <xf numFmtId="0" fontId="32" fillId="59" borderId="252" xfId="0" applyFont="1" applyFill="1" applyBorder="1" applyAlignment="1">
      <alignment horizontal="right" vertical="center"/>
    </xf>
    <xf numFmtId="0" fontId="32" fillId="59" borderId="357" xfId="0" applyFont="1" applyFill="1" applyBorder="1" applyAlignment="1">
      <alignment horizontal="right" vertical="center"/>
    </xf>
    <xf numFmtId="0" fontId="32" fillId="59" borderId="306" xfId="0" applyFont="1" applyFill="1" applyBorder="1" applyAlignment="1">
      <alignment horizontal="right" vertical="center"/>
    </xf>
    <xf numFmtId="0" fontId="43" fillId="42" borderId="191" xfId="0" applyFont="1" applyFill="1" applyBorder="1" applyAlignment="1" applyProtection="1">
      <alignment horizontal="left" vertical="center" wrapText="1"/>
    </xf>
    <xf numFmtId="0" fontId="43" fillId="42" borderId="193" xfId="0" applyFont="1" applyFill="1" applyBorder="1" applyAlignment="1" applyProtection="1">
      <alignment horizontal="left" vertical="center" wrapText="1"/>
    </xf>
    <xf numFmtId="0" fontId="43" fillId="42" borderId="192" xfId="0" applyFont="1" applyFill="1" applyBorder="1" applyAlignment="1" applyProtection="1">
      <alignment horizontal="left" vertical="center" wrapText="1"/>
    </xf>
    <xf numFmtId="0" fontId="32" fillId="45" borderId="333" xfId="0" applyFont="1" applyFill="1" applyBorder="1" applyAlignment="1">
      <alignment horizontal="right" vertical="center"/>
    </xf>
    <xf numFmtId="0" fontId="32" fillId="45" borderId="341" xfId="0" applyFont="1" applyFill="1" applyBorder="1" applyAlignment="1">
      <alignment horizontal="right" vertical="center"/>
    </xf>
    <xf numFmtId="0" fontId="32" fillId="42" borderId="342" xfId="0" applyFont="1" applyFill="1" applyBorder="1" applyAlignment="1">
      <alignment horizontal="center" vertical="center"/>
    </xf>
    <xf numFmtId="0" fontId="32" fillId="42" borderId="343" xfId="0" applyFont="1" applyFill="1" applyBorder="1" applyAlignment="1">
      <alignment horizontal="center" vertical="center"/>
    </xf>
    <xf numFmtId="0" fontId="32" fillId="42" borderId="344" xfId="0" applyFont="1" applyFill="1" applyBorder="1" applyAlignment="1">
      <alignment horizontal="center" vertical="center"/>
    </xf>
    <xf numFmtId="0" fontId="32" fillId="42" borderId="254" xfId="0" applyFont="1" applyFill="1" applyBorder="1" applyAlignment="1">
      <alignment horizontal="center" vertical="center"/>
    </xf>
    <xf numFmtId="0" fontId="32" fillId="42" borderId="268" xfId="0" applyFont="1" applyFill="1" applyBorder="1" applyAlignment="1">
      <alignment horizontal="center" vertical="center"/>
    </xf>
    <xf numFmtId="0" fontId="32" fillId="42" borderId="239" xfId="0" applyFont="1" applyFill="1" applyBorder="1" applyAlignment="1">
      <alignment horizontal="center" vertical="center"/>
    </xf>
    <xf numFmtId="0" fontId="32" fillId="43" borderId="354" xfId="0" applyFont="1" applyFill="1" applyBorder="1" applyAlignment="1">
      <alignment horizontal="right" vertical="center"/>
    </xf>
    <xf numFmtId="0" fontId="32" fillId="43" borderId="355" xfId="0" applyFont="1" applyFill="1" applyBorder="1" applyAlignment="1">
      <alignment horizontal="right" vertical="center"/>
    </xf>
    <xf numFmtId="0" fontId="33" fillId="72" borderId="92" xfId="0" applyFont="1" applyFill="1" applyBorder="1" applyAlignment="1">
      <alignment horizontal="right" vertical="center"/>
    </xf>
    <xf numFmtId="0" fontId="33" fillId="72" borderId="150" xfId="0" applyFont="1" applyFill="1" applyBorder="1" applyAlignment="1">
      <alignment horizontal="right" vertical="center"/>
    </xf>
    <xf numFmtId="0" fontId="33" fillId="72" borderId="152" xfId="0" applyFont="1" applyFill="1" applyBorder="1" applyAlignment="1">
      <alignment horizontal="right" vertical="center"/>
    </xf>
    <xf numFmtId="0" fontId="32" fillId="42" borderId="185" xfId="0" applyFont="1" applyFill="1" applyBorder="1" applyAlignment="1">
      <alignment horizontal="center" vertical="center"/>
    </xf>
    <xf numFmtId="0" fontId="32" fillId="42" borderId="0" xfId="0" applyFont="1" applyFill="1" applyBorder="1" applyAlignment="1">
      <alignment horizontal="center" vertical="center"/>
    </xf>
    <xf numFmtId="0" fontId="32" fillId="42" borderId="35" xfId="0" applyFont="1" applyFill="1" applyBorder="1" applyAlignment="1">
      <alignment horizontal="center" vertical="center"/>
    </xf>
    <xf numFmtId="0" fontId="33" fillId="72" borderId="324" xfId="0" applyFont="1" applyFill="1" applyBorder="1" applyAlignment="1">
      <alignment horizontal="right" vertical="center"/>
    </xf>
    <xf numFmtId="0" fontId="32" fillId="59" borderId="305" xfId="0" applyFont="1" applyFill="1" applyBorder="1" applyAlignment="1">
      <alignment horizontal="right" vertical="center"/>
    </xf>
    <xf numFmtId="0" fontId="32" fillId="43" borderId="324" xfId="0" applyFont="1" applyFill="1" applyBorder="1" applyAlignment="1">
      <alignment horizontal="right" vertical="center"/>
    </xf>
    <xf numFmtId="0" fontId="32" fillId="43" borderId="323" xfId="0" applyFont="1" applyFill="1" applyBorder="1" applyAlignment="1">
      <alignment horizontal="right" vertical="center"/>
    </xf>
    <xf numFmtId="0" fontId="32" fillId="65" borderId="71" xfId="0" applyFont="1" applyFill="1" applyBorder="1" applyAlignment="1">
      <alignment horizontal="right" vertical="center"/>
    </xf>
    <xf numFmtId="0" fontId="32" fillId="65" borderId="333" xfId="0" applyFont="1" applyFill="1" applyBorder="1" applyAlignment="1">
      <alignment horizontal="right" vertical="center"/>
    </xf>
    <xf numFmtId="0" fontId="32" fillId="65" borderId="341" xfId="0" applyFont="1" applyFill="1" applyBorder="1" applyAlignment="1">
      <alignment horizontal="right" vertical="center"/>
    </xf>
    <xf numFmtId="0" fontId="32" fillId="45" borderId="44" xfId="0" applyFont="1" applyFill="1" applyBorder="1" applyAlignment="1">
      <alignment horizontal="right" vertical="center"/>
    </xf>
    <xf numFmtId="0" fontId="32" fillId="45" borderId="63" xfId="0" applyFont="1" applyFill="1" applyBorder="1" applyAlignment="1">
      <alignment horizontal="right" vertical="center"/>
    </xf>
    <xf numFmtId="0" fontId="33" fillId="45" borderId="335" xfId="0" applyFont="1" applyFill="1" applyBorder="1" applyAlignment="1">
      <alignment horizontal="right" vertical="center"/>
    </xf>
    <xf numFmtId="0" fontId="33" fillId="45" borderId="339" xfId="0" applyFont="1" applyFill="1" applyBorder="1" applyAlignment="1">
      <alignment horizontal="right" vertical="center"/>
    </xf>
    <xf numFmtId="0" fontId="33" fillId="45" borderId="340" xfId="0" applyFont="1" applyFill="1" applyBorder="1" applyAlignment="1">
      <alignment horizontal="right" vertical="center"/>
    </xf>
    <xf numFmtId="0" fontId="32" fillId="0" borderId="342" xfId="0" applyFont="1" applyFill="1" applyBorder="1" applyAlignment="1">
      <alignment horizontal="center" vertical="center"/>
    </xf>
    <xf numFmtId="0" fontId="32" fillId="0" borderId="343" xfId="0" applyFont="1" applyFill="1" applyBorder="1" applyAlignment="1">
      <alignment horizontal="center" vertical="center"/>
    </xf>
    <xf numFmtId="0" fontId="32" fillId="0" borderId="344" xfId="0" applyFont="1" applyFill="1" applyBorder="1" applyAlignment="1">
      <alignment horizontal="center" vertical="center"/>
    </xf>
    <xf numFmtId="0" fontId="32" fillId="0" borderId="254" xfId="0" applyFont="1" applyFill="1" applyBorder="1" applyAlignment="1">
      <alignment horizontal="center" vertical="center"/>
    </xf>
    <xf numFmtId="0" fontId="32" fillId="0" borderId="268" xfId="0" applyFont="1" applyFill="1" applyBorder="1" applyAlignment="1">
      <alignment horizontal="center" vertical="center"/>
    </xf>
    <xf numFmtId="0" fontId="32" fillId="0" borderId="239" xfId="0" applyFont="1" applyFill="1" applyBorder="1" applyAlignment="1">
      <alignment horizontal="center" vertical="center"/>
    </xf>
    <xf numFmtId="0" fontId="32" fillId="59" borderId="44" xfId="0" applyFont="1" applyFill="1" applyBorder="1" applyAlignment="1">
      <alignment horizontal="right" vertical="center"/>
    </xf>
    <xf numFmtId="0" fontId="32" fillId="59" borderId="63" xfId="0" applyFont="1" applyFill="1" applyBorder="1" applyAlignment="1">
      <alignment horizontal="right" vertical="center"/>
    </xf>
    <xf numFmtId="0" fontId="32" fillId="0" borderId="329" xfId="0" applyFont="1" applyBorder="1" applyAlignment="1" applyProtection="1">
      <alignment horizontal="center" vertical="center" wrapText="1"/>
    </xf>
    <xf numFmtId="0" fontId="32" fillId="0" borderId="330" xfId="0" applyFont="1" applyBorder="1" applyAlignment="1" applyProtection="1">
      <alignment horizontal="center" vertical="center" wrapText="1"/>
    </xf>
    <xf numFmtId="0" fontId="32" fillId="0" borderId="331" xfId="0" applyFont="1" applyBorder="1" applyAlignment="1" applyProtection="1">
      <alignment horizontal="center" vertical="center" wrapText="1"/>
    </xf>
    <xf numFmtId="0" fontId="32" fillId="39" borderId="254" xfId="49" applyFont="1" applyFill="1" applyBorder="1" applyAlignment="1" applyProtection="1">
      <alignment horizontal="center" vertical="center" wrapText="1"/>
    </xf>
    <xf numFmtId="0" fontId="32" fillId="39" borderId="268" xfId="49" applyFont="1" applyFill="1" applyBorder="1" applyAlignment="1" applyProtection="1">
      <alignment horizontal="center" vertical="center" wrapText="1"/>
    </xf>
    <xf numFmtId="0" fontId="32" fillId="39" borderId="239" xfId="49" applyFont="1" applyFill="1" applyBorder="1" applyAlignment="1" applyProtection="1">
      <alignment horizontal="center" vertical="center" wrapText="1"/>
    </xf>
    <xf numFmtId="0" fontId="48" fillId="0" borderId="159" xfId="33" applyFont="1" applyBorder="1" applyAlignment="1">
      <alignment horizontal="center" vertical="center" wrapText="1"/>
    </xf>
    <xf numFmtId="0" fontId="48" fillId="0" borderId="332" xfId="33" applyFont="1" applyBorder="1" applyAlignment="1">
      <alignment horizontal="center" vertical="center" wrapText="1"/>
    </xf>
    <xf numFmtId="0" fontId="48" fillId="0" borderId="334" xfId="33" applyFont="1" applyBorder="1" applyAlignment="1">
      <alignment horizontal="center" vertical="center" wrapText="1"/>
    </xf>
    <xf numFmtId="0" fontId="32" fillId="0" borderId="329" xfId="0" applyFont="1" applyFill="1" applyBorder="1" applyAlignment="1" applyProtection="1">
      <alignment horizontal="center" vertical="center" wrapText="1"/>
      <protection locked="0"/>
    </xf>
    <xf numFmtId="0" fontId="32" fillId="0" borderId="330" xfId="0" applyFont="1" applyFill="1" applyBorder="1" applyAlignment="1" applyProtection="1">
      <alignment horizontal="center" vertical="center" wrapText="1"/>
      <protection locked="0"/>
    </xf>
    <xf numFmtId="0" fontId="32" fillId="0" borderId="331" xfId="0" applyFont="1" applyFill="1" applyBorder="1" applyAlignment="1" applyProtection="1">
      <alignment horizontal="center" vertical="center" wrapText="1"/>
      <protection locked="0"/>
    </xf>
    <xf numFmtId="0" fontId="32" fillId="0" borderId="254" xfId="0" applyFont="1" applyFill="1" applyBorder="1" applyAlignment="1" applyProtection="1">
      <alignment horizontal="center" vertical="center" wrapText="1"/>
      <protection locked="0"/>
    </xf>
    <xf numFmtId="0" fontId="32" fillId="0" borderId="268" xfId="0" applyFont="1" applyFill="1" applyBorder="1" applyAlignment="1" applyProtection="1">
      <alignment horizontal="center" vertical="center" wrapText="1"/>
      <protection locked="0"/>
    </xf>
    <xf numFmtId="0" fontId="32" fillId="0" borderId="239" xfId="0" applyFont="1" applyFill="1" applyBorder="1" applyAlignment="1" applyProtection="1">
      <alignment horizontal="center" vertical="center" wrapText="1"/>
      <protection locked="0"/>
    </xf>
    <xf numFmtId="0" fontId="32" fillId="67" borderId="337" xfId="0" applyFont="1" applyFill="1" applyBorder="1" applyAlignment="1">
      <alignment horizontal="right" vertical="center"/>
    </xf>
    <xf numFmtId="0" fontId="32" fillId="67" borderId="338" xfId="0" applyFont="1" applyFill="1" applyBorder="1" applyAlignment="1">
      <alignment horizontal="right" vertical="center"/>
    </xf>
    <xf numFmtId="0" fontId="33" fillId="71" borderId="324" xfId="0" applyFont="1" applyFill="1" applyBorder="1" applyAlignment="1">
      <alignment horizontal="right" vertical="center"/>
    </xf>
    <xf numFmtId="0" fontId="33" fillId="71" borderId="323" xfId="0" applyFont="1" applyFill="1" applyBorder="1" applyAlignment="1">
      <alignment horizontal="right" vertical="center"/>
    </xf>
    <xf numFmtId="0" fontId="32" fillId="43" borderId="335" xfId="0" applyFont="1" applyFill="1" applyBorder="1" applyAlignment="1">
      <alignment horizontal="right" vertical="center"/>
    </xf>
    <xf numFmtId="0" fontId="32" fillId="43" borderId="339" xfId="0" applyFont="1" applyFill="1" applyBorder="1" applyAlignment="1">
      <alignment horizontal="right" vertical="center"/>
    </xf>
    <xf numFmtId="1" fontId="33" fillId="71" borderId="320" xfId="0" applyNumberFormat="1" applyFont="1" applyFill="1" applyBorder="1" applyAlignment="1">
      <alignment horizontal="right" vertical="center"/>
    </xf>
    <xf numFmtId="0" fontId="33" fillId="71" borderId="321" xfId="0" applyFont="1" applyFill="1" applyBorder="1" applyAlignment="1">
      <alignment horizontal="right" vertical="center"/>
    </xf>
    <xf numFmtId="0" fontId="32" fillId="65" borderId="326" xfId="0" applyFont="1" applyFill="1" applyBorder="1" applyAlignment="1">
      <alignment horizontal="right" vertical="center"/>
    </xf>
    <xf numFmtId="0" fontId="32" fillId="65" borderId="327" xfId="0" applyFont="1" applyFill="1" applyBorder="1" applyAlignment="1">
      <alignment horizontal="right" vertical="center"/>
    </xf>
    <xf numFmtId="0" fontId="32" fillId="65" borderId="252" xfId="0" applyFont="1" applyFill="1" applyBorder="1" applyAlignment="1">
      <alignment horizontal="right" vertical="center"/>
    </xf>
    <xf numFmtId="0" fontId="32" fillId="67" borderId="44" xfId="0" applyFont="1" applyFill="1" applyBorder="1" applyAlignment="1">
      <alignment horizontal="right" vertical="center"/>
    </xf>
    <xf numFmtId="0" fontId="32" fillId="67" borderId="63" xfId="0" applyFont="1" applyFill="1" applyBorder="1" applyAlignment="1">
      <alignment horizontal="right" vertical="center"/>
    </xf>
    <xf numFmtId="0" fontId="33" fillId="45" borderId="326" xfId="0" applyFont="1" applyFill="1" applyBorder="1" applyAlignment="1">
      <alignment horizontal="right" vertical="center"/>
    </xf>
    <xf numFmtId="0" fontId="33" fillId="45" borderId="327" xfId="0" applyFont="1" applyFill="1" applyBorder="1" applyAlignment="1">
      <alignment horizontal="right" vertical="center"/>
    </xf>
    <xf numFmtId="10" fontId="29" fillId="49" borderId="58" xfId="51" applyNumberFormat="1" applyFont="1" applyFill="1" applyBorder="1" applyAlignment="1" applyProtection="1">
      <alignment horizontal="center" vertical="center"/>
    </xf>
    <xf numFmtId="10" fontId="29" fillId="49" borderId="175" xfId="51" applyNumberFormat="1" applyFont="1" applyFill="1" applyBorder="1" applyAlignment="1" applyProtection="1">
      <alignment horizontal="center" vertical="center"/>
    </xf>
    <xf numFmtId="44" fontId="29" fillId="49" borderId="58" xfId="49" applyNumberFormat="1" applyFont="1" applyFill="1" applyBorder="1" applyAlignment="1" applyProtection="1">
      <alignment horizontal="center" vertical="center"/>
    </xf>
    <xf numFmtId="44" fontId="29" fillId="49" borderId="11" xfId="49" applyNumberFormat="1" applyFont="1" applyFill="1" applyBorder="1" applyAlignment="1" applyProtection="1">
      <alignment horizontal="center" vertical="center"/>
    </xf>
    <xf numFmtId="10" fontId="29" fillId="55" borderId="26" xfId="35" applyNumberFormat="1" applyFont="1" applyFill="1" applyBorder="1" applyAlignment="1" applyProtection="1">
      <alignment horizontal="center" vertical="center"/>
    </xf>
    <xf numFmtId="10" fontId="29" fillId="55" borderId="169" xfId="35" applyNumberFormat="1" applyFont="1" applyFill="1" applyBorder="1" applyAlignment="1" applyProtection="1">
      <alignment horizontal="center" vertical="center"/>
    </xf>
    <xf numFmtId="10" fontId="29" fillId="55" borderId="58" xfId="35" applyNumberFormat="1" applyFont="1" applyFill="1" applyBorder="1" applyAlignment="1" applyProtection="1">
      <alignment horizontal="center" vertical="center"/>
    </xf>
    <xf numFmtId="10" fontId="29" fillId="55" borderId="175" xfId="35" applyNumberFormat="1" applyFont="1" applyFill="1" applyBorder="1" applyAlignment="1" applyProtection="1">
      <alignment horizontal="center" vertical="center"/>
    </xf>
    <xf numFmtId="10" fontId="29" fillId="55" borderId="58" xfId="51" applyNumberFormat="1" applyFont="1" applyFill="1" applyBorder="1" applyAlignment="1" applyProtection="1">
      <alignment horizontal="center" vertical="center"/>
    </xf>
    <xf numFmtId="10" fontId="29" fillId="55" borderId="175" xfId="51" applyNumberFormat="1" applyFont="1" applyFill="1" applyBorder="1" applyAlignment="1" applyProtection="1">
      <alignment horizontal="center" vertical="center"/>
    </xf>
    <xf numFmtId="10" fontId="29" fillId="55" borderId="36" xfId="51" applyNumberFormat="1" applyFont="1" applyFill="1" applyBorder="1" applyAlignment="1" applyProtection="1">
      <alignment horizontal="center" vertical="center"/>
    </xf>
    <xf numFmtId="10" fontId="29" fillId="55" borderId="87" xfId="51" applyNumberFormat="1" applyFont="1" applyFill="1" applyBorder="1" applyAlignment="1" applyProtection="1">
      <alignment horizontal="center" vertical="center"/>
    </xf>
    <xf numFmtId="10" fontId="29" fillId="55" borderId="26" xfId="51" applyNumberFormat="1" applyFont="1" applyFill="1" applyBorder="1" applyAlignment="1" applyProtection="1">
      <alignment horizontal="center" vertical="center"/>
    </xf>
    <xf numFmtId="0" fontId="41" fillId="0" borderId="28" xfId="49" applyFont="1" applyBorder="1" applyAlignment="1">
      <alignment horizontal="center"/>
    </xf>
    <xf numFmtId="0" fontId="41" fillId="0" borderId="24" xfId="49" applyFont="1" applyBorder="1" applyAlignment="1" applyProtection="1">
      <alignment horizontal="left" vertical="center"/>
    </xf>
    <xf numFmtId="0" fontId="41" fillId="0" borderId="21" xfId="49" applyFont="1" applyBorder="1" applyAlignment="1" applyProtection="1">
      <alignment horizontal="left" vertical="center"/>
    </xf>
    <xf numFmtId="10" fontId="41" fillId="0" borderId="26" xfId="35" applyNumberFormat="1" applyFont="1" applyBorder="1" applyAlignment="1" applyProtection="1">
      <alignment horizontal="center" vertical="center"/>
    </xf>
    <xf numFmtId="170" fontId="41" fillId="0" borderId="30" xfId="50" applyNumberFormat="1" applyFont="1" applyBorder="1" applyAlignment="1" applyProtection="1">
      <alignment vertical="center"/>
    </xf>
    <xf numFmtId="0" fontId="41" fillId="0" borderId="19" xfId="49" applyFont="1" applyBorder="1" applyAlignment="1" applyProtection="1">
      <alignment horizontal="left" vertical="center"/>
    </xf>
    <xf numFmtId="0" fontId="41" fillId="0" borderId="17" xfId="49" applyFont="1" applyBorder="1" applyAlignment="1" applyProtection="1">
      <alignment horizontal="left" vertical="center"/>
    </xf>
    <xf numFmtId="0" fontId="41" fillId="0" borderId="15" xfId="49" applyFont="1" applyBorder="1" applyAlignment="1" applyProtection="1">
      <alignment horizontal="left" vertical="center"/>
    </xf>
    <xf numFmtId="10" fontId="41" fillId="0" borderId="24" xfId="35" applyNumberFormat="1" applyFont="1" applyBorder="1" applyAlignment="1" applyProtection="1">
      <alignment horizontal="center" vertical="center"/>
    </xf>
    <xf numFmtId="0" fontId="41" fillId="0" borderId="168" xfId="49" applyFont="1" applyBorder="1" applyAlignment="1">
      <alignment horizontal="center"/>
    </xf>
    <xf numFmtId="0" fontId="41" fillId="0" borderId="108" xfId="49" applyFont="1" applyBorder="1" applyAlignment="1" applyProtection="1">
      <alignment horizontal="left" vertical="center"/>
    </xf>
    <xf numFmtId="0" fontId="41" fillId="0" borderId="155" xfId="49" applyFont="1" applyBorder="1" applyAlignment="1" applyProtection="1">
      <alignment horizontal="left" vertical="center"/>
    </xf>
    <xf numFmtId="10" fontId="41" fillId="0" borderId="169" xfId="35" applyNumberFormat="1" applyFont="1" applyBorder="1" applyAlignment="1" applyProtection="1">
      <alignment horizontal="center" vertical="center"/>
    </xf>
    <xf numFmtId="170" fontId="41" fillId="0" borderId="170" xfId="50" applyNumberFormat="1" applyFont="1" applyBorder="1" applyAlignment="1" applyProtection="1">
      <alignment vertical="center"/>
    </xf>
    <xf numFmtId="0" fontId="41" fillId="0" borderId="138" xfId="49" applyFont="1" applyBorder="1" applyAlignment="1" applyProtection="1">
      <alignment horizontal="left" vertical="center"/>
    </xf>
    <xf numFmtId="0" fontId="41" fillId="0" borderId="136" xfId="49" applyFont="1" applyBorder="1" applyAlignment="1" applyProtection="1">
      <alignment horizontal="left" vertical="center"/>
    </xf>
    <xf numFmtId="0" fontId="41" fillId="0" borderId="137" xfId="49" applyFont="1" applyBorder="1" applyAlignment="1" applyProtection="1">
      <alignment horizontal="left" vertical="center"/>
    </xf>
    <xf numFmtId="10" fontId="41" fillId="0" borderId="108" xfId="35" applyNumberFormat="1" applyFont="1" applyBorder="1" applyAlignment="1" applyProtection="1">
      <alignment horizontal="center" vertical="center"/>
    </xf>
    <xf numFmtId="10" fontId="29" fillId="55" borderId="169" xfId="51" applyNumberFormat="1" applyFont="1" applyFill="1" applyBorder="1" applyAlignment="1" applyProtection="1">
      <alignment horizontal="center" vertical="center"/>
    </xf>
    <xf numFmtId="10" fontId="29" fillId="49" borderId="26" xfId="35" applyNumberFormat="1" applyFont="1" applyFill="1" applyBorder="1" applyAlignment="1" applyProtection="1">
      <alignment horizontal="center" vertical="center"/>
    </xf>
    <xf numFmtId="10" fontId="29" fillId="49" borderId="58" xfId="35" applyNumberFormat="1" applyFont="1" applyFill="1" applyBorder="1" applyAlignment="1" applyProtection="1">
      <alignment horizontal="center" vertical="center"/>
    </xf>
    <xf numFmtId="10" fontId="29" fillId="49" borderId="169" xfId="35" applyNumberFormat="1" applyFont="1" applyFill="1" applyBorder="1" applyAlignment="1" applyProtection="1">
      <alignment horizontal="center" vertical="center"/>
    </xf>
    <xf numFmtId="10" fontId="29" fillId="49" borderId="175" xfId="35" applyNumberFormat="1" applyFont="1" applyFill="1" applyBorder="1" applyAlignment="1" applyProtection="1">
      <alignment horizontal="center" vertical="center"/>
    </xf>
    <xf numFmtId="0" fontId="29" fillId="25" borderId="361" xfId="49" applyFont="1" applyFill="1" applyBorder="1"/>
    <xf numFmtId="166" fontId="28" fillId="32" borderId="66" xfId="31" applyNumberFormat="1" applyFont="1" applyFill="1" applyBorder="1" applyAlignment="1" applyProtection="1">
      <alignment vertical="center"/>
    </xf>
    <xf numFmtId="0" fontId="29" fillId="25" borderId="92" xfId="49" applyFont="1" applyFill="1" applyBorder="1"/>
    <xf numFmtId="0" fontId="28" fillId="32" borderId="150" xfId="49" applyFont="1" applyFill="1" applyBorder="1" applyAlignment="1" applyProtection="1">
      <alignment vertical="center"/>
    </xf>
    <xf numFmtId="1" fontId="30" fillId="32" borderId="152" xfId="49" applyNumberFormat="1" applyFont="1" applyFill="1" applyBorder="1" applyAlignment="1" applyProtection="1">
      <alignment vertical="center"/>
    </xf>
    <xf numFmtId="8" fontId="28" fillId="32" borderId="153" xfId="31" applyNumberFormat="1" applyFont="1" applyFill="1" applyBorder="1" applyAlignment="1" applyProtection="1">
      <alignment vertical="center"/>
    </xf>
    <xf numFmtId="44" fontId="29" fillId="49" borderId="154" xfId="49" applyNumberFormat="1" applyFont="1" applyFill="1" applyBorder="1" applyAlignment="1" applyProtection="1">
      <alignment horizontal="center" vertical="center"/>
    </xf>
    <xf numFmtId="10" fontId="29" fillId="24" borderId="58" xfId="51" applyNumberFormat="1" applyFont="1" applyFill="1" applyBorder="1" applyAlignment="1" applyProtection="1">
      <alignment horizontal="center" vertical="center"/>
    </xf>
    <xf numFmtId="10" fontId="29" fillId="24" borderId="175" xfId="51" applyNumberFormat="1" applyFont="1" applyFill="1" applyBorder="1" applyAlignment="1" applyProtection="1">
      <alignment horizontal="center" vertical="center"/>
    </xf>
  </cellXfs>
  <cellStyles count="66">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xfId="64" builtinId="4"/>
    <cellStyle name="Moeda 2" xfId="46"/>
    <cellStyle name="Moeda 3" xfId="31"/>
    <cellStyle name="Moeda 4" xfId="58"/>
    <cellStyle name="Neutra" xfId="32" builtinId="28" customBuiltin="1"/>
    <cellStyle name="Normal" xfId="0" builtinId="0"/>
    <cellStyle name="Normal 2" xfId="33"/>
    <cellStyle name="Normal 3" xfId="47"/>
    <cellStyle name="Normal 4" xfId="52"/>
    <cellStyle name="Normal 4 2" xfId="55"/>
    <cellStyle name="Normal 4 3" xfId="59"/>
    <cellStyle name="Normal 4 4" xfId="62"/>
    <cellStyle name="Normal 4 5" xfId="63"/>
    <cellStyle name="Normal 5" xfId="49"/>
    <cellStyle name="Normal 6" xfId="53"/>
    <cellStyle name="Normal 7" xfId="57"/>
    <cellStyle name="Normal 8" xfId="61"/>
    <cellStyle name="Nota" xfId="34" builtinId="10" customBuiltin="1"/>
    <cellStyle name="Porcentagem" xfId="51" builtinId="5"/>
    <cellStyle name="Porcentagem 2" xfId="35"/>
    <cellStyle name="Saída" xfId="36" builtinId="21" customBuiltin="1"/>
    <cellStyle name="TableStyleLight1" xfId="54"/>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8"/>
    <cellStyle name="Vírgula 2 2" xfId="60"/>
    <cellStyle name="Vírgula 3" xfId="50"/>
    <cellStyle name="Vírgula 3 2" xfId="56"/>
    <cellStyle name="Vírgula 4" xfId="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EBF7"/>
      <color rgb="FFA9D08E"/>
      <color rgb="FFBDD7EE"/>
      <color rgb="FFCCFFFF"/>
      <color rgb="FF8EA9DB"/>
      <color rgb="FFD9E1F2"/>
      <color rgb="FF4472C4"/>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0</xdr:colOff>
      <xdr:row>32</xdr:row>
      <xdr:rowOff>0</xdr:rowOff>
    </xdr:from>
    <xdr:to>
      <xdr:col>1</xdr:col>
      <xdr:colOff>12700</xdr:colOff>
      <xdr:row>32</xdr:row>
      <xdr:rowOff>203200</xdr:rowOff>
    </xdr:to>
    <xdr:sp macro="" textlink="">
      <xdr:nvSpPr>
        <xdr:cNvPr id="2" name="Text 13"/>
        <xdr:cNvSpPr txBox="1">
          <a:spLocks noChangeArrowheads="1"/>
        </xdr:cNvSpPr>
      </xdr:nvSpPr>
      <xdr:spPr bwMode="auto">
        <a:xfrm>
          <a:off x="200025" y="110871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34</xdr:row>
      <xdr:rowOff>0</xdr:rowOff>
    </xdr:from>
    <xdr:to>
      <xdr:col>8</xdr:col>
      <xdr:colOff>50800</xdr:colOff>
      <xdr:row>34</xdr:row>
      <xdr:rowOff>203200</xdr:rowOff>
    </xdr:to>
    <xdr:sp macro="" textlink="">
      <xdr:nvSpPr>
        <xdr:cNvPr id="3" name="Text 14"/>
        <xdr:cNvSpPr txBox="1">
          <a:spLocks noChangeArrowheads="1"/>
        </xdr:cNvSpPr>
      </xdr:nvSpPr>
      <xdr:spPr bwMode="auto">
        <a:xfrm>
          <a:off x="8007350" y="114871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37</xdr:row>
      <xdr:rowOff>0</xdr:rowOff>
    </xdr:from>
    <xdr:to>
      <xdr:col>1</xdr:col>
      <xdr:colOff>12700</xdr:colOff>
      <xdr:row>37</xdr:row>
      <xdr:rowOff>203200</xdr:rowOff>
    </xdr:to>
    <xdr:sp macro="" textlink="">
      <xdr:nvSpPr>
        <xdr:cNvPr id="2" name="Text 13"/>
        <xdr:cNvSpPr txBox="1">
          <a:spLocks noChangeArrowheads="1"/>
        </xdr:cNvSpPr>
      </xdr:nvSpPr>
      <xdr:spPr bwMode="auto">
        <a:xfrm>
          <a:off x="200025" y="908685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39</xdr:row>
      <xdr:rowOff>0</xdr:rowOff>
    </xdr:from>
    <xdr:to>
      <xdr:col>8</xdr:col>
      <xdr:colOff>50800</xdr:colOff>
      <xdr:row>39</xdr:row>
      <xdr:rowOff>203200</xdr:rowOff>
    </xdr:to>
    <xdr:sp macro="" textlink="">
      <xdr:nvSpPr>
        <xdr:cNvPr id="3" name="Text 14"/>
        <xdr:cNvSpPr txBox="1">
          <a:spLocks noChangeArrowheads="1"/>
        </xdr:cNvSpPr>
      </xdr:nvSpPr>
      <xdr:spPr bwMode="auto">
        <a:xfrm>
          <a:off x="8007350" y="948690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45</xdr:row>
      <xdr:rowOff>0</xdr:rowOff>
    </xdr:from>
    <xdr:to>
      <xdr:col>1</xdr:col>
      <xdr:colOff>12700</xdr:colOff>
      <xdr:row>45</xdr:row>
      <xdr:rowOff>203200</xdr:rowOff>
    </xdr:to>
    <xdr:sp macro="" textlink="">
      <xdr:nvSpPr>
        <xdr:cNvPr id="2" name="Text 13"/>
        <xdr:cNvSpPr txBox="1">
          <a:spLocks noChangeArrowheads="1"/>
        </xdr:cNvSpPr>
      </xdr:nvSpPr>
      <xdr:spPr bwMode="auto">
        <a:xfrm>
          <a:off x="200025" y="10086975"/>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47</xdr:row>
      <xdr:rowOff>0</xdr:rowOff>
    </xdr:from>
    <xdr:to>
      <xdr:col>8</xdr:col>
      <xdr:colOff>50800</xdr:colOff>
      <xdr:row>47</xdr:row>
      <xdr:rowOff>203200</xdr:rowOff>
    </xdr:to>
    <xdr:sp macro="" textlink="">
      <xdr:nvSpPr>
        <xdr:cNvPr id="3" name="Text 14"/>
        <xdr:cNvSpPr txBox="1">
          <a:spLocks noChangeArrowheads="1"/>
        </xdr:cNvSpPr>
      </xdr:nvSpPr>
      <xdr:spPr bwMode="auto">
        <a:xfrm>
          <a:off x="8007350" y="10487025"/>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49</xdr:row>
      <xdr:rowOff>0</xdr:rowOff>
    </xdr:from>
    <xdr:to>
      <xdr:col>1</xdr:col>
      <xdr:colOff>12700</xdr:colOff>
      <xdr:row>49</xdr:row>
      <xdr:rowOff>203200</xdr:rowOff>
    </xdr:to>
    <xdr:sp macro="" textlink="">
      <xdr:nvSpPr>
        <xdr:cNvPr id="2" name="Text 13"/>
        <xdr:cNvSpPr txBox="1">
          <a:spLocks noChangeArrowheads="1"/>
        </xdr:cNvSpPr>
      </xdr:nvSpPr>
      <xdr:spPr bwMode="auto">
        <a:xfrm>
          <a:off x="200025" y="118872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51</xdr:row>
      <xdr:rowOff>0</xdr:rowOff>
    </xdr:from>
    <xdr:to>
      <xdr:col>8</xdr:col>
      <xdr:colOff>0</xdr:colOff>
      <xdr:row>51</xdr:row>
      <xdr:rowOff>203200</xdr:rowOff>
    </xdr:to>
    <xdr:sp macro="" textlink="">
      <xdr:nvSpPr>
        <xdr:cNvPr id="3" name="Text 14"/>
        <xdr:cNvSpPr txBox="1">
          <a:spLocks noChangeArrowheads="1"/>
        </xdr:cNvSpPr>
      </xdr:nvSpPr>
      <xdr:spPr bwMode="auto">
        <a:xfrm>
          <a:off x="8007350" y="122872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2.xml"/><Relationship Id="rId1" Type="http://schemas.openxmlformats.org/officeDocument/2006/relationships/printerSettings" Target="../printerSettings/printerSettings10.bin"/><Relationship Id="rId4" Type="http://schemas.openxmlformats.org/officeDocument/2006/relationships/comments" Target="../comments7.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A1:J38"/>
  <sheetViews>
    <sheetView showGridLines="0" tabSelected="1" view="pageBreakPreview" zoomScale="90" zoomScaleNormal="90" zoomScaleSheetLayoutView="90" workbookViewId="0">
      <selection activeCell="B11" sqref="B11"/>
    </sheetView>
  </sheetViews>
  <sheetFormatPr defaultColWidth="9.140625" defaultRowHeight="12.75" x14ac:dyDescent="0.2"/>
  <cols>
    <col min="1" max="1" width="33.42578125" style="52" customWidth="1"/>
    <col min="2" max="2" width="98.5703125" style="75" customWidth="1"/>
    <col min="3" max="9" width="9.140625" style="75"/>
    <col min="10" max="10" width="15.85546875" style="75" customWidth="1"/>
    <col min="11" max="16384" width="9.140625" style="75"/>
  </cols>
  <sheetData>
    <row r="1" spans="1:2" ht="12.75" customHeight="1" x14ac:dyDescent="0.2">
      <c r="A1" s="675" t="s">
        <v>145</v>
      </c>
      <c r="B1" s="676"/>
    </row>
    <row r="2" spans="1:2" ht="13.5" thickBot="1" x14ac:dyDescent="0.25">
      <c r="A2" s="677"/>
      <c r="B2" s="678"/>
    </row>
    <row r="3" spans="1:2" ht="121.5" x14ac:dyDescent="0.2">
      <c r="A3" s="679" t="s">
        <v>142</v>
      </c>
      <c r="B3" s="83" t="s">
        <v>212</v>
      </c>
    </row>
    <row r="4" spans="1:2" ht="30" x14ac:dyDescent="0.2">
      <c r="A4" s="680"/>
      <c r="B4" s="83" t="s">
        <v>183</v>
      </c>
    </row>
    <row r="5" spans="1:2" ht="61.5" x14ac:dyDescent="0.2">
      <c r="A5" s="680"/>
      <c r="B5" s="83" t="s">
        <v>505</v>
      </c>
    </row>
    <row r="6" spans="1:2" ht="45" x14ac:dyDescent="0.2">
      <c r="A6" s="680"/>
      <c r="B6" s="83" t="s">
        <v>184</v>
      </c>
    </row>
    <row r="7" spans="1:2" ht="15.75" customHeight="1" x14ac:dyDescent="0.2">
      <c r="A7" s="681" t="s">
        <v>195</v>
      </c>
      <c r="B7" s="682" t="s">
        <v>313</v>
      </c>
    </row>
    <row r="8" spans="1:2" ht="45" customHeight="1" x14ac:dyDescent="0.2">
      <c r="A8" s="679"/>
      <c r="B8" s="682"/>
    </row>
    <row r="9" spans="1:2" ht="31.5" x14ac:dyDescent="0.2">
      <c r="A9" s="485" t="s">
        <v>196</v>
      </c>
      <c r="B9" s="85" t="s">
        <v>197</v>
      </c>
    </row>
    <row r="10" spans="1:2" ht="45" x14ac:dyDescent="0.2">
      <c r="A10" s="485" t="s">
        <v>198</v>
      </c>
      <c r="B10" s="85" t="s">
        <v>199</v>
      </c>
    </row>
    <row r="11" spans="1:2" ht="165.75" x14ac:dyDescent="0.2">
      <c r="A11" s="485" t="s">
        <v>200</v>
      </c>
      <c r="B11" s="85" t="s">
        <v>201</v>
      </c>
    </row>
    <row r="12" spans="1:2" ht="45" x14ac:dyDescent="0.2">
      <c r="A12" s="485" t="s">
        <v>189</v>
      </c>
      <c r="B12" s="85" t="s">
        <v>190</v>
      </c>
    </row>
    <row r="13" spans="1:2" ht="38.25" customHeight="1" x14ac:dyDescent="0.2">
      <c r="A13" s="683" t="s">
        <v>2</v>
      </c>
      <c r="B13" s="684" t="s">
        <v>202</v>
      </c>
    </row>
    <row r="14" spans="1:2" ht="45.75" customHeight="1" x14ac:dyDescent="0.2">
      <c r="A14" s="683"/>
      <c r="B14" s="685"/>
    </row>
    <row r="15" spans="1:2" ht="31.5" x14ac:dyDescent="0.2">
      <c r="A15" s="86" t="s">
        <v>209</v>
      </c>
      <c r="B15" s="87" t="s">
        <v>203</v>
      </c>
    </row>
    <row r="16" spans="1:2" ht="45" x14ac:dyDescent="0.2">
      <c r="A16" s="88" t="s">
        <v>185</v>
      </c>
      <c r="B16" s="89" t="s">
        <v>186</v>
      </c>
    </row>
    <row r="17" spans="1:10" ht="90.75" x14ac:dyDescent="0.2">
      <c r="A17" s="90" t="s">
        <v>137</v>
      </c>
      <c r="B17" s="91" t="s">
        <v>204</v>
      </c>
    </row>
    <row r="18" spans="1:10" ht="60.75" x14ac:dyDescent="0.2">
      <c r="A18" s="84" t="s">
        <v>187</v>
      </c>
      <c r="B18" s="92" t="s">
        <v>205</v>
      </c>
      <c r="C18" s="51"/>
      <c r="D18" s="51"/>
      <c r="E18" s="51"/>
      <c r="F18" s="51"/>
      <c r="G18" s="51"/>
      <c r="H18" s="51"/>
      <c r="I18" s="76"/>
      <c r="J18" s="76"/>
    </row>
    <row r="19" spans="1:10" ht="30" x14ac:dyDescent="0.2">
      <c r="A19" s="485" t="s">
        <v>136</v>
      </c>
      <c r="B19" s="93" t="s">
        <v>206</v>
      </c>
    </row>
    <row r="20" spans="1:10" ht="90.75" x14ac:dyDescent="0.2">
      <c r="A20" s="485" t="s">
        <v>125</v>
      </c>
      <c r="B20" s="94" t="s">
        <v>210</v>
      </c>
    </row>
    <row r="21" spans="1:10" ht="150" x14ac:dyDescent="0.2">
      <c r="A21" s="486" t="s">
        <v>138</v>
      </c>
      <c r="B21" s="95" t="s">
        <v>207</v>
      </c>
    </row>
    <row r="22" spans="1:10" ht="135" x14ac:dyDescent="0.2">
      <c r="A22" s="487" t="s">
        <v>139</v>
      </c>
      <c r="B22" s="96" t="s">
        <v>141</v>
      </c>
    </row>
    <row r="23" spans="1:10" ht="150" x14ac:dyDescent="0.2">
      <c r="A23" s="487" t="s">
        <v>144</v>
      </c>
      <c r="B23" s="96" t="s">
        <v>143</v>
      </c>
    </row>
    <row r="24" spans="1:10" ht="47.25" x14ac:dyDescent="0.2">
      <c r="A24" s="486" t="s">
        <v>208</v>
      </c>
      <c r="B24" s="97" t="s">
        <v>211</v>
      </c>
    </row>
    <row r="25" spans="1:10" x14ac:dyDescent="0.2">
      <c r="A25" s="667" t="s">
        <v>188</v>
      </c>
      <c r="B25" s="668"/>
    </row>
    <row r="26" spans="1:10" x14ac:dyDescent="0.2">
      <c r="A26" s="669"/>
      <c r="B26" s="670"/>
    </row>
    <row r="27" spans="1:10" x14ac:dyDescent="0.2">
      <c r="A27" s="671" t="s">
        <v>318</v>
      </c>
      <c r="B27" s="672"/>
    </row>
    <row r="28" spans="1:10" x14ac:dyDescent="0.2">
      <c r="A28" s="671"/>
      <c r="B28" s="672"/>
    </row>
    <row r="29" spans="1:10" x14ac:dyDescent="0.2">
      <c r="A29" s="671"/>
      <c r="B29" s="672"/>
    </row>
    <row r="30" spans="1:10" x14ac:dyDescent="0.2">
      <c r="A30" s="671"/>
      <c r="B30" s="672"/>
    </row>
    <row r="31" spans="1:10" x14ac:dyDescent="0.2">
      <c r="A31" s="671"/>
      <c r="B31" s="672"/>
    </row>
    <row r="32" spans="1:10" x14ac:dyDescent="0.2">
      <c r="A32" s="671"/>
      <c r="B32" s="672"/>
    </row>
    <row r="33" spans="1:2" x14ac:dyDescent="0.2">
      <c r="A33" s="671"/>
      <c r="B33" s="672"/>
    </row>
    <row r="34" spans="1:2" x14ac:dyDescent="0.2">
      <c r="A34" s="671"/>
      <c r="B34" s="672"/>
    </row>
    <row r="35" spans="1:2" x14ac:dyDescent="0.2">
      <c r="A35" s="671"/>
      <c r="B35" s="672"/>
    </row>
    <row r="36" spans="1:2" x14ac:dyDescent="0.2">
      <c r="A36" s="671"/>
      <c r="B36" s="672"/>
    </row>
    <row r="37" spans="1:2" x14ac:dyDescent="0.2">
      <c r="A37" s="671"/>
      <c r="B37" s="672"/>
    </row>
    <row r="38" spans="1:2" ht="13.5" thickBot="1" x14ac:dyDescent="0.25">
      <c r="A38" s="673"/>
      <c r="B38" s="674"/>
    </row>
  </sheetData>
  <mergeCells count="8">
    <mergeCell ref="A25:B26"/>
    <mergeCell ref="A27:B38"/>
    <mergeCell ref="A1:B2"/>
    <mergeCell ref="A3:A6"/>
    <mergeCell ref="A7:A8"/>
    <mergeCell ref="B7:B8"/>
    <mergeCell ref="A13:A14"/>
    <mergeCell ref="B13:B14"/>
  </mergeCells>
  <printOptions horizontalCentered="1" verticalCentered="1"/>
  <pageMargins left="1.1023622047244095" right="0.51181102362204722" top="0.59055118110236227" bottom="1.1811023622047245" header="0.51181102362204722" footer="0.31496062992125984"/>
  <pageSetup paperSize="9" scale="42" orientation="portrait" r:id="rId1"/>
  <headerFooter>
    <oddHeader>&amp;RPlanilha MODELO LICITANTE</oddHeader>
    <oddFooter>&amp;C&amp;A - Pag.&amp;P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K145"/>
  <sheetViews>
    <sheetView view="pageBreakPreview" zoomScale="110" zoomScaleNormal="110" zoomScaleSheetLayoutView="110" workbookViewId="0">
      <selection activeCell="A134" sqref="A134:C134"/>
    </sheetView>
  </sheetViews>
  <sheetFormatPr defaultRowHeight="12.75" x14ac:dyDescent="0.2"/>
  <cols>
    <col min="1" max="1" width="52.7109375" style="48" customWidth="1"/>
    <col min="2" max="3" width="12.7109375" style="48" customWidth="1"/>
    <col min="4" max="4" width="8.42578125" style="48" bestFit="1" customWidth="1"/>
    <col min="5" max="5" width="10.7109375" style="48" customWidth="1"/>
    <col min="6" max="6" width="8.42578125" style="48" customWidth="1"/>
    <col min="7" max="7" width="10.7109375" style="48" customWidth="1"/>
    <col min="8" max="8" width="8.42578125" style="48" bestFit="1" customWidth="1"/>
    <col min="9" max="9" width="11.5703125" style="48" bestFit="1" customWidth="1"/>
    <col min="10" max="10" width="8.42578125" style="48" bestFit="1" customWidth="1"/>
    <col min="11" max="11" width="11.5703125" style="48" customWidth="1"/>
    <col min="12" max="256" width="9.140625" style="48"/>
    <col min="257" max="257" width="13.5703125" style="48" customWidth="1"/>
    <col min="258" max="258" width="12.85546875" style="48" customWidth="1"/>
    <col min="259" max="259" width="15" style="48" customWidth="1"/>
    <col min="260" max="261" width="13.42578125" style="48" customWidth="1"/>
    <col min="262" max="512" width="9.140625" style="48"/>
    <col min="513" max="513" width="13.5703125" style="48" customWidth="1"/>
    <col min="514" max="514" width="12.85546875" style="48" customWidth="1"/>
    <col min="515" max="515" width="15" style="48" customWidth="1"/>
    <col min="516" max="517" width="13.42578125" style="48" customWidth="1"/>
    <col min="518" max="768" width="9.140625" style="48"/>
    <col min="769" max="769" width="13.5703125" style="48" customWidth="1"/>
    <col min="770" max="770" width="12.85546875" style="48" customWidth="1"/>
    <col min="771" max="771" width="15" style="48" customWidth="1"/>
    <col min="772" max="773" width="13.42578125" style="48" customWidth="1"/>
    <col min="774" max="1024" width="9.140625" style="48"/>
    <col min="1025" max="1025" width="13.5703125" style="48" customWidth="1"/>
    <col min="1026" max="1026" width="12.85546875" style="48" customWidth="1"/>
    <col min="1027" max="1027" width="15" style="48" customWidth="1"/>
    <col min="1028" max="1029" width="13.42578125" style="48" customWidth="1"/>
    <col min="1030" max="1280" width="9.140625" style="48"/>
    <col min="1281" max="1281" width="13.5703125" style="48" customWidth="1"/>
    <col min="1282" max="1282" width="12.85546875" style="48" customWidth="1"/>
    <col min="1283" max="1283" width="15" style="48" customWidth="1"/>
    <col min="1284" max="1285" width="13.42578125" style="48" customWidth="1"/>
    <col min="1286" max="1536" width="9.140625" style="48"/>
    <col min="1537" max="1537" width="13.5703125" style="48" customWidth="1"/>
    <col min="1538" max="1538" width="12.85546875" style="48" customWidth="1"/>
    <col min="1539" max="1539" width="15" style="48" customWidth="1"/>
    <col min="1540" max="1541" width="13.42578125" style="48" customWidth="1"/>
    <col min="1542" max="1792" width="9.140625" style="48"/>
    <col min="1793" max="1793" width="13.5703125" style="48" customWidth="1"/>
    <col min="1794" max="1794" width="12.85546875" style="48" customWidth="1"/>
    <col min="1795" max="1795" width="15" style="48" customWidth="1"/>
    <col min="1796" max="1797" width="13.42578125" style="48" customWidth="1"/>
    <col min="1798" max="2048" width="9.140625" style="48"/>
    <col min="2049" max="2049" width="13.5703125" style="48" customWidth="1"/>
    <col min="2050" max="2050" width="12.85546875" style="48" customWidth="1"/>
    <col min="2051" max="2051" width="15" style="48" customWidth="1"/>
    <col min="2052" max="2053" width="13.42578125" style="48" customWidth="1"/>
    <col min="2054" max="2304" width="9.140625" style="48"/>
    <col min="2305" max="2305" width="13.5703125" style="48" customWidth="1"/>
    <col min="2306" max="2306" width="12.85546875" style="48" customWidth="1"/>
    <col min="2307" max="2307" width="15" style="48" customWidth="1"/>
    <col min="2308" max="2309" width="13.42578125" style="48" customWidth="1"/>
    <col min="2310" max="2560" width="9.140625" style="48"/>
    <col min="2561" max="2561" width="13.5703125" style="48" customWidth="1"/>
    <col min="2562" max="2562" width="12.85546875" style="48" customWidth="1"/>
    <col min="2563" max="2563" width="15" style="48" customWidth="1"/>
    <col min="2564" max="2565" width="13.42578125" style="48" customWidth="1"/>
    <col min="2566" max="2816" width="9.140625" style="48"/>
    <col min="2817" max="2817" width="13.5703125" style="48" customWidth="1"/>
    <col min="2818" max="2818" width="12.85546875" style="48" customWidth="1"/>
    <col min="2819" max="2819" width="15" style="48" customWidth="1"/>
    <col min="2820" max="2821" width="13.42578125" style="48" customWidth="1"/>
    <col min="2822" max="3072" width="9.140625" style="48"/>
    <col min="3073" max="3073" width="13.5703125" style="48" customWidth="1"/>
    <col min="3074" max="3074" width="12.85546875" style="48" customWidth="1"/>
    <col min="3075" max="3075" width="15" style="48" customWidth="1"/>
    <col min="3076" max="3077" width="13.42578125" style="48" customWidth="1"/>
    <col min="3078" max="3328" width="9.140625" style="48"/>
    <col min="3329" max="3329" width="13.5703125" style="48" customWidth="1"/>
    <col min="3330" max="3330" width="12.85546875" style="48" customWidth="1"/>
    <col min="3331" max="3331" width="15" style="48" customWidth="1"/>
    <col min="3332" max="3333" width="13.42578125" style="48" customWidth="1"/>
    <col min="3334" max="3584" width="9.140625" style="48"/>
    <col min="3585" max="3585" width="13.5703125" style="48" customWidth="1"/>
    <col min="3586" max="3586" width="12.85546875" style="48" customWidth="1"/>
    <col min="3587" max="3587" width="15" style="48" customWidth="1"/>
    <col min="3588" max="3589" width="13.42578125" style="48" customWidth="1"/>
    <col min="3590" max="3840" width="9.140625" style="48"/>
    <col min="3841" max="3841" width="13.5703125" style="48" customWidth="1"/>
    <col min="3842" max="3842" width="12.85546875" style="48" customWidth="1"/>
    <col min="3843" max="3843" width="15" style="48" customWidth="1"/>
    <col min="3844" max="3845" width="13.42578125" style="48" customWidth="1"/>
    <col min="3846" max="4096" width="9.140625" style="48"/>
    <col min="4097" max="4097" width="13.5703125" style="48" customWidth="1"/>
    <col min="4098" max="4098" width="12.85546875" style="48" customWidth="1"/>
    <col min="4099" max="4099" width="15" style="48" customWidth="1"/>
    <col min="4100" max="4101" width="13.42578125" style="48" customWidth="1"/>
    <col min="4102" max="4352" width="9.140625" style="48"/>
    <col min="4353" max="4353" width="13.5703125" style="48" customWidth="1"/>
    <col min="4354" max="4354" width="12.85546875" style="48" customWidth="1"/>
    <col min="4355" max="4355" width="15" style="48" customWidth="1"/>
    <col min="4356" max="4357" width="13.42578125" style="48" customWidth="1"/>
    <col min="4358" max="4608" width="9.140625" style="48"/>
    <col min="4609" max="4609" width="13.5703125" style="48" customWidth="1"/>
    <col min="4610" max="4610" width="12.85546875" style="48" customWidth="1"/>
    <col min="4611" max="4611" width="15" style="48" customWidth="1"/>
    <col min="4612" max="4613" width="13.42578125" style="48" customWidth="1"/>
    <col min="4614" max="4864" width="9.140625" style="48"/>
    <col min="4865" max="4865" width="13.5703125" style="48" customWidth="1"/>
    <col min="4866" max="4866" width="12.85546875" style="48" customWidth="1"/>
    <col min="4867" max="4867" width="15" style="48" customWidth="1"/>
    <col min="4868" max="4869" width="13.42578125" style="48" customWidth="1"/>
    <col min="4870" max="5120" width="9.140625" style="48"/>
    <col min="5121" max="5121" width="13.5703125" style="48" customWidth="1"/>
    <col min="5122" max="5122" width="12.85546875" style="48" customWidth="1"/>
    <col min="5123" max="5123" width="15" style="48" customWidth="1"/>
    <col min="5124" max="5125" width="13.42578125" style="48" customWidth="1"/>
    <col min="5126" max="5376" width="9.140625" style="48"/>
    <col min="5377" max="5377" width="13.5703125" style="48" customWidth="1"/>
    <col min="5378" max="5378" width="12.85546875" style="48" customWidth="1"/>
    <col min="5379" max="5379" width="15" style="48" customWidth="1"/>
    <col min="5380" max="5381" width="13.42578125" style="48" customWidth="1"/>
    <col min="5382" max="5632" width="9.140625" style="48"/>
    <col min="5633" max="5633" width="13.5703125" style="48" customWidth="1"/>
    <col min="5634" max="5634" width="12.85546875" style="48" customWidth="1"/>
    <col min="5635" max="5635" width="15" style="48" customWidth="1"/>
    <col min="5636" max="5637" width="13.42578125" style="48" customWidth="1"/>
    <col min="5638" max="5888" width="9.140625" style="48"/>
    <col min="5889" max="5889" width="13.5703125" style="48" customWidth="1"/>
    <col min="5890" max="5890" width="12.85546875" style="48" customWidth="1"/>
    <col min="5891" max="5891" width="15" style="48" customWidth="1"/>
    <col min="5892" max="5893" width="13.42578125" style="48" customWidth="1"/>
    <col min="5894" max="6144" width="9.140625" style="48"/>
    <col min="6145" max="6145" width="13.5703125" style="48" customWidth="1"/>
    <col min="6146" max="6146" width="12.85546875" style="48" customWidth="1"/>
    <col min="6147" max="6147" width="15" style="48" customWidth="1"/>
    <col min="6148" max="6149" width="13.42578125" style="48" customWidth="1"/>
    <col min="6150" max="6400" width="9.140625" style="48"/>
    <col min="6401" max="6401" width="13.5703125" style="48" customWidth="1"/>
    <col min="6402" max="6402" width="12.85546875" style="48" customWidth="1"/>
    <col min="6403" max="6403" width="15" style="48" customWidth="1"/>
    <col min="6404" max="6405" width="13.42578125" style="48" customWidth="1"/>
    <col min="6406" max="6656" width="9.140625" style="48"/>
    <col min="6657" max="6657" width="13.5703125" style="48" customWidth="1"/>
    <col min="6658" max="6658" width="12.85546875" style="48" customWidth="1"/>
    <col min="6659" max="6659" width="15" style="48" customWidth="1"/>
    <col min="6660" max="6661" width="13.42578125" style="48" customWidth="1"/>
    <col min="6662" max="6912" width="9.140625" style="48"/>
    <col min="6913" max="6913" width="13.5703125" style="48" customWidth="1"/>
    <col min="6914" max="6914" width="12.85546875" style="48" customWidth="1"/>
    <col min="6915" max="6915" width="15" style="48" customWidth="1"/>
    <col min="6916" max="6917" width="13.42578125" style="48" customWidth="1"/>
    <col min="6918" max="7168" width="9.140625" style="48"/>
    <col min="7169" max="7169" width="13.5703125" style="48" customWidth="1"/>
    <col min="7170" max="7170" width="12.85546875" style="48" customWidth="1"/>
    <col min="7171" max="7171" width="15" style="48" customWidth="1"/>
    <col min="7172" max="7173" width="13.42578125" style="48" customWidth="1"/>
    <col min="7174" max="7424" width="9.140625" style="48"/>
    <col min="7425" max="7425" width="13.5703125" style="48" customWidth="1"/>
    <col min="7426" max="7426" width="12.85546875" style="48" customWidth="1"/>
    <col min="7427" max="7427" width="15" style="48" customWidth="1"/>
    <col min="7428" max="7429" width="13.42578125" style="48" customWidth="1"/>
    <col min="7430" max="7680" width="9.140625" style="48"/>
    <col min="7681" max="7681" width="13.5703125" style="48" customWidth="1"/>
    <col min="7682" max="7682" width="12.85546875" style="48" customWidth="1"/>
    <col min="7683" max="7683" width="15" style="48" customWidth="1"/>
    <col min="7684" max="7685" width="13.42578125" style="48" customWidth="1"/>
    <col min="7686" max="7936" width="9.140625" style="48"/>
    <col min="7937" max="7937" width="13.5703125" style="48" customWidth="1"/>
    <col min="7938" max="7938" width="12.85546875" style="48" customWidth="1"/>
    <col min="7939" max="7939" width="15" style="48" customWidth="1"/>
    <col min="7940" max="7941" width="13.42578125" style="48" customWidth="1"/>
    <col min="7942" max="8192" width="9.140625" style="48"/>
    <col min="8193" max="8193" width="13.5703125" style="48" customWidth="1"/>
    <col min="8194" max="8194" width="12.85546875" style="48" customWidth="1"/>
    <col min="8195" max="8195" width="15" style="48" customWidth="1"/>
    <col min="8196" max="8197" width="13.42578125" style="48" customWidth="1"/>
    <col min="8198" max="8448" width="9.140625" style="48"/>
    <col min="8449" max="8449" width="13.5703125" style="48" customWidth="1"/>
    <col min="8450" max="8450" width="12.85546875" style="48" customWidth="1"/>
    <col min="8451" max="8451" width="15" style="48" customWidth="1"/>
    <col min="8452" max="8453" width="13.42578125" style="48" customWidth="1"/>
    <col min="8454" max="8704" width="9.140625" style="48"/>
    <col min="8705" max="8705" width="13.5703125" style="48" customWidth="1"/>
    <col min="8706" max="8706" width="12.85546875" style="48" customWidth="1"/>
    <col min="8707" max="8707" width="15" style="48" customWidth="1"/>
    <col min="8708" max="8709" width="13.42578125" style="48" customWidth="1"/>
    <col min="8710" max="8960" width="9.140625" style="48"/>
    <col min="8961" max="8961" width="13.5703125" style="48" customWidth="1"/>
    <col min="8962" max="8962" width="12.85546875" style="48" customWidth="1"/>
    <col min="8963" max="8963" width="15" style="48" customWidth="1"/>
    <col min="8964" max="8965" width="13.42578125" style="48" customWidth="1"/>
    <col min="8966" max="9216" width="9.140625" style="48"/>
    <col min="9217" max="9217" width="13.5703125" style="48" customWidth="1"/>
    <col min="9218" max="9218" width="12.85546875" style="48" customWidth="1"/>
    <col min="9219" max="9219" width="15" style="48" customWidth="1"/>
    <col min="9220" max="9221" width="13.42578125" style="48" customWidth="1"/>
    <col min="9222" max="9472" width="9.140625" style="48"/>
    <col min="9473" max="9473" width="13.5703125" style="48" customWidth="1"/>
    <col min="9474" max="9474" width="12.85546875" style="48" customWidth="1"/>
    <col min="9475" max="9475" width="15" style="48" customWidth="1"/>
    <col min="9476" max="9477" width="13.42578125" style="48" customWidth="1"/>
    <col min="9478" max="9728" width="9.140625" style="48"/>
    <col min="9729" max="9729" width="13.5703125" style="48" customWidth="1"/>
    <col min="9730" max="9730" width="12.85546875" style="48" customWidth="1"/>
    <col min="9731" max="9731" width="15" style="48" customWidth="1"/>
    <col min="9732" max="9733" width="13.42578125" style="48" customWidth="1"/>
    <col min="9734" max="9984" width="9.140625" style="48"/>
    <col min="9985" max="9985" width="13.5703125" style="48" customWidth="1"/>
    <col min="9986" max="9986" width="12.85546875" style="48" customWidth="1"/>
    <col min="9987" max="9987" width="15" style="48" customWidth="1"/>
    <col min="9988" max="9989" width="13.42578125" style="48" customWidth="1"/>
    <col min="9990" max="10240" width="9.140625" style="48"/>
    <col min="10241" max="10241" width="13.5703125" style="48" customWidth="1"/>
    <col min="10242" max="10242" width="12.85546875" style="48" customWidth="1"/>
    <col min="10243" max="10243" width="15" style="48" customWidth="1"/>
    <col min="10244" max="10245" width="13.42578125" style="48" customWidth="1"/>
    <col min="10246" max="10496" width="9.140625" style="48"/>
    <col min="10497" max="10497" width="13.5703125" style="48" customWidth="1"/>
    <col min="10498" max="10498" width="12.85546875" style="48" customWidth="1"/>
    <col min="10499" max="10499" width="15" style="48" customWidth="1"/>
    <col min="10500" max="10501" width="13.42578125" style="48" customWidth="1"/>
    <col min="10502" max="10752" width="9.140625" style="48"/>
    <col min="10753" max="10753" width="13.5703125" style="48" customWidth="1"/>
    <col min="10754" max="10754" width="12.85546875" style="48" customWidth="1"/>
    <col min="10755" max="10755" width="15" style="48" customWidth="1"/>
    <col min="10756" max="10757" width="13.42578125" style="48" customWidth="1"/>
    <col min="10758" max="11008" width="9.140625" style="48"/>
    <col min="11009" max="11009" width="13.5703125" style="48" customWidth="1"/>
    <col min="11010" max="11010" width="12.85546875" style="48" customWidth="1"/>
    <col min="11011" max="11011" width="15" style="48" customWidth="1"/>
    <col min="11012" max="11013" width="13.42578125" style="48" customWidth="1"/>
    <col min="11014" max="11264" width="9.140625" style="48"/>
    <col min="11265" max="11265" width="13.5703125" style="48" customWidth="1"/>
    <col min="11266" max="11266" width="12.85546875" style="48" customWidth="1"/>
    <col min="11267" max="11267" width="15" style="48" customWidth="1"/>
    <col min="11268" max="11269" width="13.42578125" style="48" customWidth="1"/>
    <col min="11270" max="11520" width="9.140625" style="48"/>
    <col min="11521" max="11521" width="13.5703125" style="48" customWidth="1"/>
    <col min="11522" max="11522" width="12.85546875" style="48" customWidth="1"/>
    <col min="11523" max="11523" width="15" style="48" customWidth="1"/>
    <col min="11524" max="11525" width="13.42578125" style="48" customWidth="1"/>
    <col min="11526" max="11776" width="9.140625" style="48"/>
    <col min="11777" max="11777" width="13.5703125" style="48" customWidth="1"/>
    <col min="11778" max="11778" width="12.85546875" style="48" customWidth="1"/>
    <col min="11779" max="11779" width="15" style="48" customWidth="1"/>
    <col min="11780" max="11781" width="13.42578125" style="48" customWidth="1"/>
    <col min="11782" max="12032" width="9.140625" style="48"/>
    <col min="12033" max="12033" width="13.5703125" style="48" customWidth="1"/>
    <col min="12034" max="12034" width="12.85546875" style="48" customWidth="1"/>
    <col min="12035" max="12035" width="15" style="48" customWidth="1"/>
    <col min="12036" max="12037" width="13.42578125" style="48" customWidth="1"/>
    <col min="12038" max="12288" width="9.140625" style="48"/>
    <col min="12289" max="12289" width="13.5703125" style="48" customWidth="1"/>
    <col min="12290" max="12290" width="12.85546875" style="48" customWidth="1"/>
    <col min="12291" max="12291" width="15" style="48" customWidth="1"/>
    <col min="12292" max="12293" width="13.42578125" style="48" customWidth="1"/>
    <col min="12294" max="12544" width="9.140625" style="48"/>
    <col min="12545" max="12545" width="13.5703125" style="48" customWidth="1"/>
    <col min="12546" max="12546" width="12.85546875" style="48" customWidth="1"/>
    <col min="12547" max="12547" width="15" style="48" customWidth="1"/>
    <col min="12548" max="12549" width="13.42578125" style="48" customWidth="1"/>
    <col min="12550" max="12800" width="9.140625" style="48"/>
    <col min="12801" max="12801" width="13.5703125" style="48" customWidth="1"/>
    <col min="12802" max="12802" width="12.85546875" style="48" customWidth="1"/>
    <col min="12803" max="12803" width="15" style="48" customWidth="1"/>
    <col min="12804" max="12805" width="13.42578125" style="48" customWidth="1"/>
    <col min="12806" max="13056" width="9.140625" style="48"/>
    <col min="13057" max="13057" width="13.5703125" style="48" customWidth="1"/>
    <col min="13058" max="13058" width="12.85546875" style="48" customWidth="1"/>
    <col min="13059" max="13059" width="15" style="48" customWidth="1"/>
    <col min="13060" max="13061" width="13.42578125" style="48" customWidth="1"/>
    <col min="13062" max="13312" width="9.140625" style="48"/>
    <col min="13313" max="13313" width="13.5703125" style="48" customWidth="1"/>
    <col min="13314" max="13314" width="12.85546875" style="48" customWidth="1"/>
    <col min="13315" max="13315" width="15" style="48" customWidth="1"/>
    <col min="13316" max="13317" width="13.42578125" style="48" customWidth="1"/>
    <col min="13318" max="13568" width="9.140625" style="48"/>
    <col min="13569" max="13569" width="13.5703125" style="48" customWidth="1"/>
    <col min="13570" max="13570" width="12.85546875" style="48" customWidth="1"/>
    <col min="13571" max="13571" width="15" style="48" customWidth="1"/>
    <col min="13572" max="13573" width="13.42578125" style="48" customWidth="1"/>
    <col min="13574" max="13824" width="9.140625" style="48"/>
    <col min="13825" max="13825" width="13.5703125" style="48" customWidth="1"/>
    <col min="13826" max="13826" width="12.85546875" style="48" customWidth="1"/>
    <col min="13827" max="13827" width="15" style="48" customWidth="1"/>
    <col min="13828" max="13829" width="13.42578125" style="48" customWidth="1"/>
    <col min="13830" max="14080" width="9.140625" style="48"/>
    <col min="14081" max="14081" width="13.5703125" style="48" customWidth="1"/>
    <col min="14082" max="14082" width="12.85546875" style="48" customWidth="1"/>
    <col min="14083" max="14083" width="15" style="48" customWidth="1"/>
    <col min="14084" max="14085" width="13.42578125" style="48" customWidth="1"/>
    <col min="14086" max="14336" width="9.140625" style="48"/>
    <col min="14337" max="14337" width="13.5703125" style="48" customWidth="1"/>
    <col min="14338" max="14338" width="12.85546875" style="48" customWidth="1"/>
    <col min="14339" max="14339" width="15" style="48" customWidth="1"/>
    <col min="14340" max="14341" width="13.42578125" style="48" customWidth="1"/>
    <col min="14342" max="14592" width="9.140625" style="48"/>
    <col min="14593" max="14593" width="13.5703125" style="48" customWidth="1"/>
    <col min="14594" max="14594" width="12.85546875" style="48" customWidth="1"/>
    <col min="14595" max="14595" width="15" style="48" customWidth="1"/>
    <col min="14596" max="14597" width="13.42578125" style="48" customWidth="1"/>
    <col min="14598" max="14848" width="9.140625" style="48"/>
    <col min="14849" max="14849" width="13.5703125" style="48" customWidth="1"/>
    <col min="14850" max="14850" width="12.85546875" style="48" customWidth="1"/>
    <col min="14851" max="14851" width="15" style="48" customWidth="1"/>
    <col min="14852" max="14853" width="13.42578125" style="48" customWidth="1"/>
    <col min="14854" max="15104" width="9.140625" style="48"/>
    <col min="15105" max="15105" width="13.5703125" style="48" customWidth="1"/>
    <col min="15106" max="15106" width="12.85546875" style="48" customWidth="1"/>
    <col min="15107" max="15107" width="15" style="48" customWidth="1"/>
    <col min="15108" max="15109" width="13.42578125" style="48" customWidth="1"/>
    <col min="15110" max="15360" width="9.140625" style="48"/>
    <col min="15361" max="15361" width="13.5703125" style="48" customWidth="1"/>
    <col min="15362" max="15362" width="12.85546875" style="48" customWidth="1"/>
    <col min="15363" max="15363" width="15" style="48" customWidth="1"/>
    <col min="15364" max="15365" width="13.42578125" style="48" customWidth="1"/>
    <col min="15366" max="15616" width="9.140625" style="48"/>
    <col min="15617" max="15617" width="13.5703125" style="48" customWidth="1"/>
    <col min="15618" max="15618" width="12.85546875" style="48" customWidth="1"/>
    <col min="15619" max="15619" width="15" style="48" customWidth="1"/>
    <col min="15620" max="15621" width="13.42578125" style="48" customWidth="1"/>
    <col min="15622" max="15872" width="9.140625" style="48"/>
    <col min="15873" max="15873" width="13.5703125" style="48" customWidth="1"/>
    <col min="15874" max="15874" width="12.85546875" style="48" customWidth="1"/>
    <col min="15875" max="15875" width="15" style="48" customWidth="1"/>
    <col min="15876" max="15877" width="13.42578125" style="48" customWidth="1"/>
    <col min="15878" max="16128" width="9.140625" style="48"/>
    <col min="16129" max="16129" width="13.5703125" style="48" customWidth="1"/>
    <col min="16130" max="16130" width="12.85546875" style="48" customWidth="1"/>
    <col min="16131" max="16131" width="15" style="48" customWidth="1"/>
    <col min="16132" max="16133" width="13.42578125" style="48" customWidth="1"/>
    <col min="16134" max="16384" width="9.140625" style="48"/>
  </cols>
  <sheetData>
    <row r="1" spans="1:11" ht="16.5" x14ac:dyDescent="0.2">
      <c r="A1" s="710" t="s">
        <v>465</v>
      </c>
      <c r="B1" s="711"/>
      <c r="C1" s="711"/>
      <c r="D1" s="712"/>
      <c r="E1" s="712"/>
      <c r="F1" s="713"/>
      <c r="G1" s="713"/>
      <c r="H1" s="712"/>
      <c r="I1" s="712"/>
      <c r="J1" s="711"/>
      <c r="K1" s="714"/>
    </row>
    <row r="2" spans="1:11" s="49" customFormat="1" ht="16.5" x14ac:dyDescent="0.2">
      <c r="A2" s="715" t="s">
        <v>219</v>
      </c>
      <c r="B2" s="716"/>
      <c r="C2" s="716"/>
      <c r="D2" s="716"/>
      <c r="E2" s="716"/>
      <c r="F2" s="716"/>
      <c r="G2" s="716"/>
      <c r="H2" s="716"/>
      <c r="I2" s="716"/>
      <c r="J2" s="716"/>
      <c r="K2" s="717"/>
    </row>
    <row r="3" spans="1:11" s="49" customFormat="1" ht="13.5" thickBot="1" x14ac:dyDescent="0.25">
      <c r="A3" s="718" t="s">
        <v>424</v>
      </c>
      <c r="B3" s="719"/>
      <c r="C3" s="719"/>
      <c r="D3" s="719"/>
      <c r="E3" s="719"/>
      <c r="F3" s="719"/>
      <c r="G3" s="719"/>
      <c r="H3" s="719"/>
      <c r="I3" s="719"/>
      <c r="J3" s="719"/>
      <c r="K3" s="720"/>
    </row>
    <row r="4" spans="1:11" s="132" customFormat="1" ht="12.75" customHeight="1" x14ac:dyDescent="0.2">
      <c r="A4" s="721" t="s">
        <v>314</v>
      </c>
      <c r="B4" s="723" t="s">
        <v>353</v>
      </c>
      <c r="C4" s="664" t="s">
        <v>132</v>
      </c>
      <c r="D4" s="694" t="s">
        <v>449</v>
      </c>
      <c r="E4" s="695"/>
      <c r="F4" s="726" t="s">
        <v>450</v>
      </c>
      <c r="G4" s="727"/>
      <c r="H4" s="694" t="s">
        <v>451</v>
      </c>
      <c r="I4" s="695"/>
      <c r="J4" s="662" t="s">
        <v>452</v>
      </c>
      <c r="K4" s="695"/>
    </row>
    <row r="5" spans="1:11" s="132" customFormat="1" ht="12.75" customHeight="1" thickBot="1" x14ac:dyDescent="0.25">
      <c r="A5" s="722"/>
      <c r="B5" s="724"/>
      <c r="C5" s="725"/>
      <c r="D5" s="214" t="s">
        <v>133</v>
      </c>
      <c r="E5" s="213" t="s">
        <v>390</v>
      </c>
      <c r="F5" s="214" t="s">
        <v>133</v>
      </c>
      <c r="G5" s="213" t="s">
        <v>390</v>
      </c>
      <c r="H5" s="214" t="s">
        <v>133</v>
      </c>
      <c r="I5" s="213" t="s">
        <v>390</v>
      </c>
      <c r="J5" s="218" t="s">
        <v>133</v>
      </c>
      <c r="K5" s="213" t="s">
        <v>390</v>
      </c>
    </row>
    <row r="6" spans="1:11" x14ac:dyDescent="0.2">
      <c r="A6" s="216" t="s">
        <v>256</v>
      </c>
      <c r="B6" s="217">
        <v>6</v>
      </c>
      <c r="C6" s="228">
        <v>0</v>
      </c>
      <c r="D6" s="229">
        <v>1</v>
      </c>
      <c r="E6" s="230">
        <f>ROUND((C6*D6)/B6,2)</f>
        <v>0</v>
      </c>
      <c r="F6" s="506">
        <v>6</v>
      </c>
      <c r="G6" s="496">
        <f>ROUND((C6*F6)/B6,2)</f>
        <v>0</v>
      </c>
      <c r="H6" s="229">
        <v>4</v>
      </c>
      <c r="I6" s="230">
        <f>ROUND((C6*H6)/B6,2)</f>
        <v>0</v>
      </c>
      <c r="J6" s="231">
        <v>4</v>
      </c>
      <c r="K6" s="512">
        <f>ROUND((C6*J6)/B6,2)</f>
        <v>0</v>
      </c>
    </row>
    <row r="7" spans="1:11" x14ac:dyDescent="0.2">
      <c r="A7" s="215" t="s">
        <v>257</v>
      </c>
      <c r="B7" s="219">
        <v>12</v>
      </c>
      <c r="C7" s="224">
        <v>0</v>
      </c>
      <c r="D7" s="225">
        <v>1</v>
      </c>
      <c r="E7" s="226">
        <f>ROUND((C7*D7)/B7,2)</f>
        <v>0</v>
      </c>
      <c r="F7" s="507">
        <v>1</v>
      </c>
      <c r="G7" s="495">
        <f>ROUND((C7*F7)/B7,2)</f>
        <v>0</v>
      </c>
      <c r="H7" s="225">
        <v>1</v>
      </c>
      <c r="I7" s="226">
        <f>ROUND((C7*H7)/B7,2)</f>
        <v>0</v>
      </c>
      <c r="J7" s="227">
        <v>1</v>
      </c>
      <c r="K7" s="513">
        <f>ROUND((C7*J7)/B7,2)</f>
        <v>0</v>
      </c>
    </row>
    <row r="8" spans="1:11" x14ac:dyDescent="0.2">
      <c r="A8" s="215" t="s">
        <v>319</v>
      </c>
      <c r="B8" s="219">
        <v>6</v>
      </c>
      <c r="C8" s="224">
        <v>0</v>
      </c>
      <c r="D8" s="225">
        <v>10</v>
      </c>
      <c r="E8" s="226">
        <f t="shared" ref="E8:E68" si="0">ROUND((C8*D8)/B8,2)</f>
        <v>0</v>
      </c>
      <c r="F8" s="507">
        <v>2</v>
      </c>
      <c r="G8" s="495">
        <f t="shared" ref="G8:G68" si="1">ROUND((C8*F8)/B8,2)</f>
        <v>0</v>
      </c>
      <c r="H8" s="225">
        <v>6</v>
      </c>
      <c r="I8" s="226">
        <f t="shared" ref="I8:I68" si="2">ROUND((C8*H8)/B8,2)</f>
        <v>0</v>
      </c>
      <c r="J8" s="227">
        <v>5</v>
      </c>
      <c r="K8" s="513">
        <f t="shared" ref="K8:K68" si="3">ROUND((C8*J8)/B8,2)</f>
        <v>0</v>
      </c>
    </row>
    <row r="9" spans="1:11" x14ac:dyDescent="0.2">
      <c r="A9" s="215" t="s">
        <v>320</v>
      </c>
      <c r="B9" s="219">
        <v>12</v>
      </c>
      <c r="C9" s="224">
        <v>0</v>
      </c>
      <c r="D9" s="225">
        <v>0</v>
      </c>
      <c r="E9" s="226">
        <f t="shared" si="0"/>
        <v>0</v>
      </c>
      <c r="F9" s="507">
        <v>1</v>
      </c>
      <c r="G9" s="495">
        <f t="shared" si="1"/>
        <v>0</v>
      </c>
      <c r="H9" s="225">
        <v>1</v>
      </c>
      <c r="I9" s="226">
        <f t="shared" si="2"/>
        <v>0</v>
      </c>
      <c r="J9" s="227">
        <v>1</v>
      </c>
      <c r="K9" s="513">
        <f t="shared" si="3"/>
        <v>0</v>
      </c>
    </row>
    <row r="10" spans="1:11" x14ac:dyDescent="0.2">
      <c r="A10" s="215" t="s">
        <v>321</v>
      </c>
      <c r="B10" s="219">
        <v>3</v>
      </c>
      <c r="C10" s="224">
        <v>0</v>
      </c>
      <c r="D10" s="225">
        <v>0</v>
      </c>
      <c r="E10" s="226">
        <f t="shared" si="0"/>
        <v>0</v>
      </c>
      <c r="F10" s="507">
        <v>1</v>
      </c>
      <c r="G10" s="495">
        <f t="shared" si="1"/>
        <v>0</v>
      </c>
      <c r="H10" s="225">
        <v>1</v>
      </c>
      <c r="I10" s="226">
        <f t="shared" si="2"/>
        <v>0</v>
      </c>
      <c r="J10" s="227">
        <v>1</v>
      </c>
      <c r="K10" s="513">
        <f t="shared" si="3"/>
        <v>0</v>
      </c>
    </row>
    <row r="11" spans="1:11" x14ac:dyDescent="0.2">
      <c r="A11" s="215" t="s">
        <v>258</v>
      </c>
      <c r="B11" s="219">
        <v>3</v>
      </c>
      <c r="C11" s="224">
        <v>0</v>
      </c>
      <c r="D11" s="225">
        <v>3</v>
      </c>
      <c r="E11" s="226">
        <f t="shared" si="0"/>
        <v>0</v>
      </c>
      <c r="F11" s="507">
        <v>4</v>
      </c>
      <c r="G11" s="495">
        <f t="shared" si="1"/>
        <v>0</v>
      </c>
      <c r="H11" s="225">
        <v>4</v>
      </c>
      <c r="I11" s="226">
        <f t="shared" si="2"/>
        <v>0</v>
      </c>
      <c r="J11" s="227">
        <v>12</v>
      </c>
      <c r="K11" s="513">
        <f t="shared" si="3"/>
        <v>0</v>
      </c>
    </row>
    <row r="12" spans="1:11" x14ac:dyDescent="0.2">
      <c r="A12" s="215" t="s">
        <v>220</v>
      </c>
      <c r="B12" s="219">
        <v>3</v>
      </c>
      <c r="C12" s="224">
        <v>0</v>
      </c>
      <c r="D12" s="225">
        <v>6</v>
      </c>
      <c r="E12" s="226">
        <f t="shared" si="0"/>
        <v>0</v>
      </c>
      <c r="F12" s="507">
        <v>3</v>
      </c>
      <c r="G12" s="495">
        <f t="shared" si="1"/>
        <v>0</v>
      </c>
      <c r="H12" s="225">
        <v>10</v>
      </c>
      <c r="I12" s="226">
        <f t="shared" si="2"/>
        <v>0</v>
      </c>
      <c r="J12" s="227">
        <v>12</v>
      </c>
      <c r="K12" s="513">
        <f t="shared" si="3"/>
        <v>0</v>
      </c>
    </row>
    <row r="13" spans="1:11" x14ac:dyDescent="0.2">
      <c r="A13" s="215" t="s">
        <v>322</v>
      </c>
      <c r="B13" s="219">
        <v>6</v>
      </c>
      <c r="C13" s="224">
        <v>0</v>
      </c>
      <c r="D13" s="225">
        <v>0</v>
      </c>
      <c r="E13" s="226">
        <f t="shared" si="0"/>
        <v>0</v>
      </c>
      <c r="F13" s="507">
        <v>4</v>
      </c>
      <c r="G13" s="495">
        <f t="shared" si="1"/>
        <v>0</v>
      </c>
      <c r="H13" s="225">
        <v>1</v>
      </c>
      <c r="I13" s="226">
        <f t="shared" si="2"/>
        <v>0</v>
      </c>
      <c r="J13" s="227">
        <v>1</v>
      </c>
      <c r="K13" s="513">
        <f t="shared" si="3"/>
        <v>0</v>
      </c>
    </row>
    <row r="14" spans="1:11" x14ac:dyDescent="0.2">
      <c r="A14" s="215" t="s">
        <v>323</v>
      </c>
      <c r="B14" s="219">
        <v>12</v>
      </c>
      <c r="C14" s="224">
        <v>0</v>
      </c>
      <c r="D14" s="225">
        <v>0</v>
      </c>
      <c r="E14" s="226">
        <f t="shared" si="0"/>
        <v>0</v>
      </c>
      <c r="F14" s="507">
        <v>2</v>
      </c>
      <c r="G14" s="495">
        <f t="shared" si="1"/>
        <v>0</v>
      </c>
      <c r="H14" s="225">
        <v>2</v>
      </c>
      <c r="I14" s="226">
        <f t="shared" si="2"/>
        <v>0</v>
      </c>
      <c r="J14" s="227">
        <v>1</v>
      </c>
      <c r="K14" s="513">
        <f t="shared" si="3"/>
        <v>0</v>
      </c>
    </row>
    <row r="15" spans="1:11" x14ac:dyDescent="0.2">
      <c r="A15" s="215" t="s">
        <v>221</v>
      </c>
      <c r="B15" s="219">
        <v>1</v>
      </c>
      <c r="C15" s="224">
        <v>0</v>
      </c>
      <c r="D15" s="225">
        <v>5</v>
      </c>
      <c r="E15" s="226">
        <f t="shared" si="0"/>
        <v>0</v>
      </c>
      <c r="F15" s="507">
        <v>20</v>
      </c>
      <c r="G15" s="495">
        <f t="shared" si="1"/>
        <v>0</v>
      </c>
      <c r="H15" s="225">
        <v>20</v>
      </c>
      <c r="I15" s="226">
        <f t="shared" si="2"/>
        <v>0</v>
      </c>
      <c r="J15" s="227">
        <v>12</v>
      </c>
      <c r="K15" s="513">
        <f t="shared" si="3"/>
        <v>0</v>
      </c>
    </row>
    <row r="16" spans="1:11" x14ac:dyDescent="0.2">
      <c r="A16" s="215" t="s">
        <v>324</v>
      </c>
      <c r="B16" s="219">
        <v>12</v>
      </c>
      <c r="C16" s="224">
        <v>0</v>
      </c>
      <c r="D16" s="225">
        <v>1</v>
      </c>
      <c r="E16" s="226">
        <f t="shared" si="0"/>
        <v>0</v>
      </c>
      <c r="F16" s="507">
        <v>2</v>
      </c>
      <c r="G16" s="495">
        <f t="shared" si="1"/>
        <v>0</v>
      </c>
      <c r="H16" s="225">
        <v>2</v>
      </c>
      <c r="I16" s="226">
        <f t="shared" si="2"/>
        <v>0</v>
      </c>
      <c r="J16" s="227">
        <v>2</v>
      </c>
      <c r="K16" s="513">
        <f t="shared" si="3"/>
        <v>0</v>
      </c>
    </row>
    <row r="17" spans="1:11" x14ac:dyDescent="0.2">
      <c r="A17" s="215" t="s">
        <v>259</v>
      </c>
      <c r="B17" s="219">
        <v>12</v>
      </c>
      <c r="C17" s="224">
        <v>0</v>
      </c>
      <c r="D17" s="225">
        <v>1</v>
      </c>
      <c r="E17" s="226">
        <f t="shared" si="0"/>
        <v>0</v>
      </c>
      <c r="F17" s="507">
        <v>5</v>
      </c>
      <c r="G17" s="495">
        <f t="shared" si="1"/>
        <v>0</v>
      </c>
      <c r="H17" s="225">
        <v>15</v>
      </c>
      <c r="I17" s="226">
        <f t="shared" si="2"/>
        <v>0</v>
      </c>
      <c r="J17" s="227">
        <v>12</v>
      </c>
      <c r="K17" s="513">
        <f t="shared" si="3"/>
        <v>0</v>
      </c>
    </row>
    <row r="18" spans="1:11" x14ac:dyDescent="0.2">
      <c r="A18" s="215" t="s">
        <v>222</v>
      </c>
      <c r="B18" s="219">
        <v>3</v>
      </c>
      <c r="C18" s="224">
        <v>0</v>
      </c>
      <c r="D18" s="225">
        <v>0</v>
      </c>
      <c r="E18" s="226">
        <f t="shared" si="0"/>
        <v>0</v>
      </c>
      <c r="F18" s="507">
        <v>3</v>
      </c>
      <c r="G18" s="495">
        <f t="shared" si="1"/>
        <v>0</v>
      </c>
      <c r="H18" s="225">
        <v>5</v>
      </c>
      <c r="I18" s="226">
        <f t="shared" si="2"/>
        <v>0</v>
      </c>
      <c r="J18" s="227">
        <v>4</v>
      </c>
      <c r="K18" s="513">
        <f t="shared" si="3"/>
        <v>0</v>
      </c>
    </row>
    <row r="19" spans="1:11" x14ac:dyDescent="0.2">
      <c r="A19" s="215" t="s">
        <v>325</v>
      </c>
      <c r="B19" s="219">
        <v>12</v>
      </c>
      <c r="C19" s="224">
        <v>0</v>
      </c>
      <c r="D19" s="225">
        <v>1</v>
      </c>
      <c r="E19" s="226">
        <f t="shared" si="0"/>
        <v>0</v>
      </c>
      <c r="F19" s="507">
        <v>2</v>
      </c>
      <c r="G19" s="495">
        <f t="shared" si="1"/>
        <v>0</v>
      </c>
      <c r="H19" s="225">
        <v>3</v>
      </c>
      <c r="I19" s="226">
        <f t="shared" si="2"/>
        <v>0</v>
      </c>
      <c r="J19" s="227">
        <v>2</v>
      </c>
      <c r="K19" s="513">
        <f t="shared" si="3"/>
        <v>0</v>
      </c>
    </row>
    <row r="20" spans="1:11" x14ac:dyDescent="0.2">
      <c r="A20" s="215" t="s">
        <v>260</v>
      </c>
      <c r="B20" s="219">
        <v>3</v>
      </c>
      <c r="C20" s="224">
        <v>0</v>
      </c>
      <c r="D20" s="225">
        <v>1</v>
      </c>
      <c r="E20" s="226">
        <f t="shared" si="0"/>
        <v>0</v>
      </c>
      <c r="F20" s="507">
        <v>4</v>
      </c>
      <c r="G20" s="495">
        <f t="shared" si="1"/>
        <v>0</v>
      </c>
      <c r="H20" s="225">
        <v>15</v>
      </c>
      <c r="I20" s="226">
        <f t="shared" si="2"/>
        <v>0</v>
      </c>
      <c r="J20" s="227">
        <v>3</v>
      </c>
      <c r="K20" s="513">
        <f t="shared" si="3"/>
        <v>0</v>
      </c>
    </row>
    <row r="21" spans="1:11" x14ac:dyDescent="0.2">
      <c r="A21" s="215" t="s">
        <v>223</v>
      </c>
      <c r="B21" s="219">
        <v>1</v>
      </c>
      <c r="C21" s="224">
        <v>0</v>
      </c>
      <c r="D21" s="225">
        <v>5</v>
      </c>
      <c r="E21" s="226">
        <f t="shared" si="0"/>
        <v>0</v>
      </c>
      <c r="F21" s="507">
        <v>30</v>
      </c>
      <c r="G21" s="495">
        <f t="shared" si="1"/>
        <v>0</v>
      </c>
      <c r="H21" s="225">
        <v>20</v>
      </c>
      <c r="I21" s="226">
        <f t="shared" si="2"/>
        <v>0</v>
      </c>
      <c r="J21" s="227">
        <v>4</v>
      </c>
      <c r="K21" s="513">
        <f t="shared" si="3"/>
        <v>0</v>
      </c>
    </row>
    <row r="22" spans="1:11" x14ac:dyDescent="0.2">
      <c r="A22" s="215" t="s">
        <v>224</v>
      </c>
      <c r="B22" s="219">
        <v>1</v>
      </c>
      <c r="C22" s="224">
        <v>0</v>
      </c>
      <c r="D22" s="225">
        <v>5</v>
      </c>
      <c r="E22" s="226">
        <f t="shared" si="0"/>
        <v>0</v>
      </c>
      <c r="F22" s="507">
        <v>30</v>
      </c>
      <c r="G22" s="495">
        <f t="shared" si="1"/>
        <v>0</v>
      </c>
      <c r="H22" s="225">
        <v>20</v>
      </c>
      <c r="I22" s="226">
        <f t="shared" si="2"/>
        <v>0</v>
      </c>
      <c r="J22" s="227">
        <v>15</v>
      </c>
      <c r="K22" s="513">
        <f t="shared" si="3"/>
        <v>0</v>
      </c>
    </row>
    <row r="23" spans="1:11" x14ac:dyDescent="0.2">
      <c r="A23" s="215" t="s">
        <v>261</v>
      </c>
      <c r="B23" s="219">
        <v>12</v>
      </c>
      <c r="C23" s="224">
        <v>0</v>
      </c>
      <c r="D23" s="225">
        <v>1</v>
      </c>
      <c r="E23" s="226">
        <f t="shared" si="0"/>
        <v>0</v>
      </c>
      <c r="F23" s="507">
        <v>1</v>
      </c>
      <c r="G23" s="495">
        <f t="shared" si="1"/>
        <v>0</v>
      </c>
      <c r="H23" s="225">
        <v>4</v>
      </c>
      <c r="I23" s="226">
        <f t="shared" si="2"/>
        <v>0</v>
      </c>
      <c r="J23" s="227">
        <v>4</v>
      </c>
      <c r="K23" s="513">
        <f t="shared" si="3"/>
        <v>0</v>
      </c>
    </row>
    <row r="24" spans="1:11" x14ac:dyDescent="0.2">
      <c r="A24" s="215" t="s">
        <v>326</v>
      </c>
      <c r="B24" s="219">
        <v>12</v>
      </c>
      <c r="C24" s="224">
        <v>0</v>
      </c>
      <c r="D24" s="225">
        <v>0</v>
      </c>
      <c r="E24" s="226">
        <f t="shared" si="0"/>
        <v>0</v>
      </c>
      <c r="F24" s="507">
        <v>1</v>
      </c>
      <c r="G24" s="495">
        <f t="shared" si="1"/>
        <v>0</v>
      </c>
      <c r="H24" s="225">
        <v>2</v>
      </c>
      <c r="I24" s="226">
        <f t="shared" si="2"/>
        <v>0</v>
      </c>
      <c r="J24" s="227">
        <v>1</v>
      </c>
      <c r="K24" s="513">
        <f t="shared" si="3"/>
        <v>0</v>
      </c>
    </row>
    <row r="25" spans="1:11" x14ac:dyDescent="0.2">
      <c r="A25" s="215" t="s">
        <v>327</v>
      </c>
      <c r="B25" s="219">
        <v>3</v>
      </c>
      <c r="C25" s="224">
        <v>0</v>
      </c>
      <c r="D25" s="225">
        <v>1</v>
      </c>
      <c r="E25" s="226">
        <f t="shared" si="0"/>
        <v>0</v>
      </c>
      <c r="F25" s="507">
        <v>6</v>
      </c>
      <c r="G25" s="495">
        <f t="shared" si="1"/>
        <v>0</v>
      </c>
      <c r="H25" s="225">
        <v>2</v>
      </c>
      <c r="I25" s="226">
        <f t="shared" si="2"/>
        <v>0</v>
      </c>
      <c r="J25" s="227">
        <v>4</v>
      </c>
      <c r="K25" s="513">
        <f t="shared" si="3"/>
        <v>0</v>
      </c>
    </row>
    <row r="26" spans="1:11" x14ac:dyDescent="0.2">
      <c r="A26" s="215" t="s">
        <v>262</v>
      </c>
      <c r="B26" s="219">
        <v>3</v>
      </c>
      <c r="C26" s="224">
        <v>0</v>
      </c>
      <c r="D26" s="225">
        <v>0</v>
      </c>
      <c r="E26" s="226">
        <f t="shared" si="0"/>
        <v>0</v>
      </c>
      <c r="F26" s="507">
        <v>0</v>
      </c>
      <c r="G26" s="495">
        <f t="shared" si="1"/>
        <v>0</v>
      </c>
      <c r="H26" s="225">
        <v>0</v>
      </c>
      <c r="I26" s="226">
        <f t="shared" si="2"/>
        <v>0</v>
      </c>
      <c r="J26" s="227">
        <v>0</v>
      </c>
      <c r="K26" s="513">
        <f t="shared" si="3"/>
        <v>0</v>
      </c>
    </row>
    <row r="27" spans="1:11" x14ac:dyDescent="0.2">
      <c r="A27" s="215" t="s">
        <v>328</v>
      </c>
      <c r="B27" s="219">
        <v>3</v>
      </c>
      <c r="C27" s="224">
        <v>0</v>
      </c>
      <c r="D27" s="225">
        <v>1</v>
      </c>
      <c r="E27" s="226">
        <f t="shared" si="0"/>
        <v>0</v>
      </c>
      <c r="F27" s="507">
        <v>6</v>
      </c>
      <c r="G27" s="495">
        <f t="shared" si="1"/>
        <v>0</v>
      </c>
      <c r="H27" s="225">
        <v>2</v>
      </c>
      <c r="I27" s="226">
        <f t="shared" si="2"/>
        <v>0</v>
      </c>
      <c r="J27" s="227">
        <v>4</v>
      </c>
      <c r="K27" s="513">
        <f t="shared" si="3"/>
        <v>0</v>
      </c>
    </row>
    <row r="28" spans="1:11" x14ac:dyDescent="0.2">
      <c r="A28" s="215" t="s">
        <v>263</v>
      </c>
      <c r="B28" s="219">
        <v>3</v>
      </c>
      <c r="C28" s="224">
        <v>0</v>
      </c>
      <c r="D28" s="225">
        <v>0</v>
      </c>
      <c r="E28" s="226">
        <f t="shared" si="0"/>
        <v>0</v>
      </c>
      <c r="F28" s="507">
        <v>0</v>
      </c>
      <c r="G28" s="495">
        <f t="shared" si="1"/>
        <v>0</v>
      </c>
      <c r="H28" s="225">
        <v>0</v>
      </c>
      <c r="I28" s="226">
        <f t="shared" si="2"/>
        <v>0</v>
      </c>
      <c r="J28" s="227">
        <v>0</v>
      </c>
      <c r="K28" s="513">
        <f t="shared" si="3"/>
        <v>0</v>
      </c>
    </row>
    <row r="29" spans="1:11" x14ac:dyDescent="0.2">
      <c r="A29" s="215" t="s">
        <v>389</v>
      </c>
      <c r="B29" s="219">
        <v>12</v>
      </c>
      <c r="C29" s="224">
        <v>0</v>
      </c>
      <c r="D29" s="225">
        <v>2</v>
      </c>
      <c r="E29" s="226">
        <f t="shared" si="0"/>
        <v>0</v>
      </c>
      <c r="F29" s="507">
        <v>2</v>
      </c>
      <c r="G29" s="495">
        <f t="shared" si="1"/>
        <v>0</v>
      </c>
      <c r="H29" s="225">
        <v>2</v>
      </c>
      <c r="I29" s="226">
        <f t="shared" si="2"/>
        <v>0</v>
      </c>
      <c r="J29" s="227">
        <v>2</v>
      </c>
      <c r="K29" s="513">
        <f t="shared" si="3"/>
        <v>0</v>
      </c>
    </row>
    <row r="30" spans="1:11" x14ac:dyDescent="0.2">
      <c r="A30" s="215" t="s">
        <v>329</v>
      </c>
      <c r="B30" s="219">
        <v>3</v>
      </c>
      <c r="C30" s="224">
        <v>0</v>
      </c>
      <c r="D30" s="225">
        <v>2</v>
      </c>
      <c r="E30" s="226">
        <f t="shared" si="0"/>
        <v>0</v>
      </c>
      <c r="F30" s="507">
        <v>10</v>
      </c>
      <c r="G30" s="495">
        <f t="shared" si="1"/>
        <v>0</v>
      </c>
      <c r="H30" s="225">
        <v>100</v>
      </c>
      <c r="I30" s="226">
        <f t="shared" si="2"/>
        <v>0</v>
      </c>
      <c r="J30" s="227">
        <v>4</v>
      </c>
      <c r="K30" s="513">
        <f t="shared" si="3"/>
        <v>0</v>
      </c>
    </row>
    <row r="31" spans="1:11" x14ac:dyDescent="0.2">
      <c r="A31" s="215" t="s">
        <v>330</v>
      </c>
      <c r="B31" s="219">
        <v>3</v>
      </c>
      <c r="C31" s="224">
        <v>0</v>
      </c>
      <c r="D31" s="225">
        <v>2</v>
      </c>
      <c r="E31" s="226">
        <f t="shared" si="0"/>
        <v>0</v>
      </c>
      <c r="F31" s="507">
        <v>10</v>
      </c>
      <c r="G31" s="495">
        <f t="shared" si="1"/>
        <v>0</v>
      </c>
      <c r="H31" s="225">
        <v>10</v>
      </c>
      <c r="I31" s="226">
        <f t="shared" si="2"/>
        <v>0</v>
      </c>
      <c r="J31" s="227">
        <v>5</v>
      </c>
      <c r="K31" s="513">
        <f t="shared" si="3"/>
        <v>0</v>
      </c>
    </row>
    <row r="32" spans="1:11" x14ac:dyDescent="0.2">
      <c r="A32" s="215" t="s">
        <v>331</v>
      </c>
      <c r="B32" s="219">
        <v>3</v>
      </c>
      <c r="C32" s="224">
        <v>0</v>
      </c>
      <c r="D32" s="225">
        <v>2</v>
      </c>
      <c r="E32" s="226">
        <f t="shared" si="0"/>
        <v>0</v>
      </c>
      <c r="F32" s="507">
        <v>10</v>
      </c>
      <c r="G32" s="495">
        <f t="shared" si="1"/>
        <v>0</v>
      </c>
      <c r="H32" s="225">
        <v>10</v>
      </c>
      <c r="I32" s="226">
        <f t="shared" si="2"/>
        <v>0</v>
      </c>
      <c r="J32" s="227">
        <v>6</v>
      </c>
      <c r="K32" s="513">
        <f t="shared" si="3"/>
        <v>0</v>
      </c>
    </row>
    <row r="33" spans="1:11" x14ac:dyDescent="0.2">
      <c r="A33" s="215" t="s">
        <v>332</v>
      </c>
      <c r="B33" s="219">
        <v>3</v>
      </c>
      <c r="C33" s="224">
        <v>0</v>
      </c>
      <c r="D33" s="225">
        <v>3</v>
      </c>
      <c r="E33" s="226">
        <f t="shared" si="0"/>
        <v>0</v>
      </c>
      <c r="F33" s="507">
        <v>10</v>
      </c>
      <c r="G33" s="495">
        <f t="shared" si="1"/>
        <v>0</v>
      </c>
      <c r="H33" s="225">
        <v>10</v>
      </c>
      <c r="I33" s="226">
        <f t="shared" si="2"/>
        <v>0</v>
      </c>
      <c r="J33" s="227">
        <v>25</v>
      </c>
      <c r="K33" s="513">
        <f t="shared" si="3"/>
        <v>0</v>
      </c>
    </row>
    <row r="34" spans="1:11" x14ac:dyDescent="0.2">
      <c r="A34" s="215" t="s">
        <v>333</v>
      </c>
      <c r="B34" s="219">
        <v>3</v>
      </c>
      <c r="C34" s="224">
        <v>0</v>
      </c>
      <c r="D34" s="225">
        <v>2</v>
      </c>
      <c r="E34" s="226">
        <f t="shared" si="0"/>
        <v>0</v>
      </c>
      <c r="F34" s="507">
        <v>0</v>
      </c>
      <c r="G34" s="495">
        <f t="shared" si="1"/>
        <v>0</v>
      </c>
      <c r="H34" s="225">
        <v>10</v>
      </c>
      <c r="I34" s="226">
        <f t="shared" si="2"/>
        <v>0</v>
      </c>
      <c r="J34" s="227">
        <v>0</v>
      </c>
      <c r="K34" s="513">
        <f t="shared" si="3"/>
        <v>0</v>
      </c>
    </row>
    <row r="35" spans="1:11" x14ac:dyDescent="0.2">
      <c r="A35" s="215" t="s">
        <v>264</v>
      </c>
      <c r="B35" s="219">
        <v>3</v>
      </c>
      <c r="C35" s="224">
        <v>0</v>
      </c>
      <c r="D35" s="225">
        <v>2</v>
      </c>
      <c r="E35" s="226">
        <f t="shared" si="0"/>
        <v>0</v>
      </c>
      <c r="F35" s="507">
        <v>4</v>
      </c>
      <c r="G35" s="495">
        <f t="shared" si="1"/>
        <v>0</v>
      </c>
      <c r="H35" s="225">
        <v>2</v>
      </c>
      <c r="I35" s="226">
        <f t="shared" si="2"/>
        <v>0</v>
      </c>
      <c r="J35" s="227">
        <v>4</v>
      </c>
      <c r="K35" s="513">
        <f t="shared" si="3"/>
        <v>0</v>
      </c>
    </row>
    <row r="36" spans="1:11" x14ac:dyDescent="0.2">
      <c r="A36" s="215" t="s">
        <v>334</v>
      </c>
      <c r="B36" s="219">
        <v>3</v>
      </c>
      <c r="C36" s="224">
        <v>0</v>
      </c>
      <c r="D36" s="225">
        <v>0</v>
      </c>
      <c r="E36" s="226">
        <f t="shared" si="0"/>
        <v>0</v>
      </c>
      <c r="F36" s="507">
        <v>0</v>
      </c>
      <c r="G36" s="495">
        <f t="shared" si="1"/>
        <v>0</v>
      </c>
      <c r="H36" s="225">
        <v>0</v>
      </c>
      <c r="I36" s="226">
        <f t="shared" si="2"/>
        <v>0</v>
      </c>
      <c r="J36" s="227">
        <v>0</v>
      </c>
      <c r="K36" s="513">
        <f t="shared" si="3"/>
        <v>0</v>
      </c>
    </row>
    <row r="37" spans="1:11" x14ac:dyDescent="0.2">
      <c r="A37" s="215" t="s">
        <v>265</v>
      </c>
      <c r="B37" s="219">
        <v>3</v>
      </c>
      <c r="C37" s="224">
        <v>0</v>
      </c>
      <c r="D37" s="225">
        <v>0</v>
      </c>
      <c r="E37" s="226">
        <f t="shared" si="0"/>
        <v>0</v>
      </c>
      <c r="F37" s="507">
        <v>0</v>
      </c>
      <c r="G37" s="495">
        <f t="shared" si="1"/>
        <v>0</v>
      </c>
      <c r="H37" s="225">
        <v>0</v>
      </c>
      <c r="I37" s="226">
        <f t="shared" si="2"/>
        <v>0</v>
      </c>
      <c r="J37" s="227">
        <v>0</v>
      </c>
      <c r="K37" s="513">
        <f t="shared" si="3"/>
        <v>0</v>
      </c>
    </row>
    <row r="38" spans="1:11" x14ac:dyDescent="0.2">
      <c r="A38" s="215" t="s">
        <v>335</v>
      </c>
      <c r="B38" s="219">
        <v>3</v>
      </c>
      <c r="C38" s="224">
        <v>0</v>
      </c>
      <c r="D38" s="225">
        <v>0</v>
      </c>
      <c r="E38" s="226">
        <f t="shared" si="0"/>
        <v>0</v>
      </c>
      <c r="F38" s="507">
        <v>0</v>
      </c>
      <c r="G38" s="495">
        <f t="shared" si="1"/>
        <v>0</v>
      </c>
      <c r="H38" s="225">
        <v>0</v>
      </c>
      <c r="I38" s="226">
        <f t="shared" si="2"/>
        <v>0</v>
      </c>
      <c r="J38" s="227">
        <v>0</v>
      </c>
      <c r="K38" s="513">
        <f t="shared" si="3"/>
        <v>0</v>
      </c>
    </row>
    <row r="39" spans="1:11" x14ac:dyDescent="0.2">
      <c r="A39" s="215" t="s">
        <v>336</v>
      </c>
      <c r="B39" s="219">
        <v>3</v>
      </c>
      <c r="C39" s="224">
        <v>0</v>
      </c>
      <c r="D39" s="225">
        <v>2</v>
      </c>
      <c r="E39" s="226">
        <f t="shared" si="0"/>
        <v>0</v>
      </c>
      <c r="F39" s="507">
        <v>5</v>
      </c>
      <c r="G39" s="495">
        <f t="shared" si="1"/>
        <v>0</v>
      </c>
      <c r="H39" s="225">
        <v>10</v>
      </c>
      <c r="I39" s="226">
        <f t="shared" si="2"/>
        <v>0</v>
      </c>
      <c r="J39" s="227">
        <v>16</v>
      </c>
      <c r="K39" s="513">
        <f t="shared" si="3"/>
        <v>0</v>
      </c>
    </row>
    <row r="40" spans="1:11" x14ac:dyDescent="0.2">
      <c r="A40" s="215" t="s">
        <v>337</v>
      </c>
      <c r="B40" s="219">
        <v>12</v>
      </c>
      <c r="C40" s="224">
        <v>0</v>
      </c>
      <c r="D40" s="225">
        <v>0</v>
      </c>
      <c r="E40" s="226">
        <f t="shared" si="0"/>
        <v>0</v>
      </c>
      <c r="F40" s="507">
        <v>0</v>
      </c>
      <c r="G40" s="495">
        <f t="shared" si="1"/>
        <v>0</v>
      </c>
      <c r="H40" s="225">
        <v>0</v>
      </c>
      <c r="I40" s="226">
        <f t="shared" si="2"/>
        <v>0</v>
      </c>
      <c r="J40" s="227">
        <v>0</v>
      </c>
      <c r="K40" s="513">
        <f t="shared" si="3"/>
        <v>0</v>
      </c>
    </row>
    <row r="41" spans="1:11" x14ac:dyDescent="0.2">
      <c r="A41" s="215" t="s">
        <v>338</v>
      </c>
      <c r="B41" s="219">
        <v>1</v>
      </c>
      <c r="C41" s="224">
        <v>0</v>
      </c>
      <c r="D41" s="225">
        <v>0</v>
      </c>
      <c r="E41" s="226">
        <f t="shared" si="0"/>
        <v>0</v>
      </c>
      <c r="F41" s="507">
        <v>0</v>
      </c>
      <c r="G41" s="495">
        <f t="shared" si="1"/>
        <v>0</v>
      </c>
      <c r="H41" s="225">
        <v>0</v>
      </c>
      <c r="I41" s="226">
        <f t="shared" si="2"/>
        <v>0</v>
      </c>
      <c r="J41" s="227">
        <v>0</v>
      </c>
      <c r="K41" s="513">
        <f t="shared" si="3"/>
        <v>0</v>
      </c>
    </row>
    <row r="42" spans="1:11" x14ac:dyDescent="0.2">
      <c r="A42" s="215" t="s">
        <v>281</v>
      </c>
      <c r="B42" s="219">
        <v>3</v>
      </c>
      <c r="C42" s="224">
        <v>0</v>
      </c>
      <c r="D42" s="225">
        <v>0</v>
      </c>
      <c r="E42" s="226">
        <f t="shared" si="0"/>
        <v>0</v>
      </c>
      <c r="F42" s="507">
        <v>0</v>
      </c>
      <c r="G42" s="495">
        <f t="shared" si="1"/>
        <v>0</v>
      </c>
      <c r="H42" s="225">
        <v>0</v>
      </c>
      <c r="I42" s="226">
        <f t="shared" si="2"/>
        <v>0</v>
      </c>
      <c r="J42" s="227">
        <v>0</v>
      </c>
      <c r="K42" s="513">
        <f t="shared" si="3"/>
        <v>0</v>
      </c>
    </row>
    <row r="43" spans="1:11" ht="25.5" x14ac:dyDescent="0.2">
      <c r="A43" s="223" t="s">
        <v>339</v>
      </c>
      <c r="B43" s="219">
        <v>1</v>
      </c>
      <c r="C43" s="224">
        <v>0</v>
      </c>
      <c r="D43" s="225">
        <v>6</v>
      </c>
      <c r="E43" s="226">
        <f t="shared" si="0"/>
        <v>0</v>
      </c>
      <c r="F43" s="507">
        <v>12</v>
      </c>
      <c r="G43" s="495">
        <f t="shared" si="1"/>
        <v>0</v>
      </c>
      <c r="H43" s="225">
        <v>200</v>
      </c>
      <c r="I43" s="226">
        <f t="shared" si="2"/>
        <v>0</v>
      </c>
      <c r="J43" s="227">
        <v>310</v>
      </c>
      <c r="K43" s="513">
        <f t="shared" si="3"/>
        <v>0</v>
      </c>
    </row>
    <row r="44" spans="1:11" ht="38.25" x14ac:dyDescent="0.2">
      <c r="A44" s="223" t="s">
        <v>340</v>
      </c>
      <c r="B44" s="219">
        <v>1</v>
      </c>
      <c r="C44" s="224">
        <v>0</v>
      </c>
      <c r="D44" s="225">
        <v>5</v>
      </c>
      <c r="E44" s="226">
        <f t="shared" si="0"/>
        <v>0</v>
      </c>
      <c r="F44" s="507">
        <v>1</v>
      </c>
      <c r="G44" s="495">
        <f t="shared" si="1"/>
        <v>0</v>
      </c>
      <c r="H44" s="225">
        <v>50</v>
      </c>
      <c r="I44" s="226">
        <f t="shared" si="2"/>
        <v>0</v>
      </c>
      <c r="J44" s="227">
        <v>31</v>
      </c>
      <c r="K44" s="513">
        <f t="shared" si="3"/>
        <v>0</v>
      </c>
    </row>
    <row r="45" spans="1:11" ht="38.25" x14ac:dyDescent="0.2">
      <c r="A45" s="223" t="s">
        <v>341</v>
      </c>
      <c r="B45" s="219">
        <v>1</v>
      </c>
      <c r="C45" s="224">
        <v>0</v>
      </c>
      <c r="D45" s="225">
        <v>1</v>
      </c>
      <c r="E45" s="226">
        <f t="shared" si="0"/>
        <v>0</v>
      </c>
      <c r="F45" s="507">
        <v>0</v>
      </c>
      <c r="G45" s="495">
        <f t="shared" si="1"/>
        <v>0</v>
      </c>
      <c r="H45" s="225">
        <v>0</v>
      </c>
      <c r="I45" s="226">
        <f t="shared" si="2"/>
        <v>0</v>
      </c>
      <c r="J45" s="227">
        <v>0</v>
      </c>
      <c r="K45" s="513">
        <f t="shared" si="3"/>
        <v>0</v>
      </c>
    </row>
    <row r="46" spans="1:11" x14ac:dyDescent="0.2">
      <c r="A46" s="215" t="s">
        <v>342</v>
      </c>
      <c r="B46" s="219">
        <v>1</v>
      </c>
      <c r="C46" s="224">
        <v>0</v>
      </c>
      <c r="D46" s="225">
        <v>2</v>
      </c>
      <c r="E46" s="226">
        <f t="shared" si="0"/>
        <v>0</v>
      </c>
      <c r="F46" s="507">
        <v>50</v>
      </c>
      <c r="G46" s="495">
        <f t="shared" si="1"/>
        <v>0</v>
      </c>
      <c r="H46" s="225">
        <v>150</v>
      </c>
      <c r="I46" s="226">
        <f t="shared" si="2"/>
        <v>0</v>
      </c>
      <c r="J46" s="227">
        <v>69</v>
      </c>
      <c r="K46" s="513">
        <f t="shared" si="3"/>
        <v>0</v>
      </c>
    </row>
    <row r="47" spans="1:11" x14ac:dyDescent="0.2">
      <c r="A47" s="215" t="s">
        <v>343</v>
      </c>
      <c r="B47" s="219">
        <v>3</v>
      </c>
      <c r="C47" s="224">
        <v>0</v>
      </c>
      <c r="D47" s="225">
        <v>1</v>
      </c>
      <c r="E47" s="226">
        <f t="shared" si="0"/>
        <v>0</v>
      </c>
      <c r="F47" s="507">
        <v>6</v>
      </c>
      <c r="G47" s="495">
        <f t="shared" si="1"/>
        <v>0</v>
      </c>
      <c r="H47" s="225">
        <v>15</v>
      </c>
      <c r="I47" s="226">
        <f t="shared" si="2"/>
        <v>0</v>
      </c>
      <c r="J47" s="227">
        <v>4</v>
      </c>
      <c r="K47" s="513">
        <f t="shared" si="3"/>
        <v>0</v>
      </c>
    </row>
    <row r="48" spans="1:11" x14ac:dyDescent="0.2">
      <c r="A48" s="215" t="s">
        <v>344</v>
      </c>
      <c r="B48" s="219">
        <v>12</v>
      </c>
      <c r="C48" s="224">
        <v>0</v>
      </c>
      <c r="D48" s="225">
        <v>3</v>
      </c>
      <c r="E48" s="226">
        <f t="shared" si="0"/>
        <v>0</v>
      </c>
      <c r="F48" s="507">
        <v>4</v>
      </c>
      <c r="G48" s="495">
        <f t="shared" si="1"/>
        <v>0</v>
      </c>
      <c r="H48" s="225">
        <v>4</v>
      </c>
      <c r="I48" s="226">
        <f t="shared" si="2"/>
        <v>0</v>
      </c>
      <c r="J48" s="227">
        <v>5</v>
      </c>
      <c r="K48" s="513">
        <f t="shared" si="3"/>
        <v>0</v>
      </c>
    </row>
    <row r="49" spans="1:11" x14ac:dyDescent="0.2">
      <c r="A49" s="215" t="s">
        <v>345</v>
      </c>
      <c r="B49" s="219">
        <v>12</v>
      </c>
      <c r="C49" s="224">
        <v>0</v>
      </c>
      <c r="D49" s="225">
        <v>8</v>
      </c>
      <c r="E49" s="226">
        <f t="shared" si="0"/>
        <v>0</v>
      </c>
      <c r="F49" s="507">
        <v>7</v>
      </c>
      <c r="G49" s="495">
        <f t="shared" si="1"/>
        <v>0</v>
      </c>
      <c r="H49" s="225">
        <v>30</v>
      </c>
      <c r="I49" s="226">
        <f t="shared" si="2"/>
        <v>0</v>
      </c>
      <c r="J49" s="227">
        <v>25</v>
      </c>
      <c r="K49" s="513">
        <f t="shared" si="3"/>
        <v>0</v>
      </c>
    </row>
    <row r="50" spans="1:11" x14ac:dyDescent="0.2">
      <c r="A50" s="215" t="s">
        <v>346</v>
      </c>
      <c r="B50" s="219">
        <v>12</v>
      </c>
      <c r="C50" s="224">
        <v>0</v>
      </c>
      <c r="D50" s="225">
        <v>5</v>
      </c>
      <c r="E50" s="226">
        <f t="shared" si="0"/>
        <v>0</v>
      </c>
      <c r="F50" s="507">
        <v>6</v>
      </c>
      <c r="G50" s="495">
        <f t="shared" si="1"/>
        <v>0</v>
      </c>
      <c r="H50" s="225">
        <v>30</v>
      </c>
      <c r="I50" s="226">
        <f t="shared" si="2"/>
        <v>0</v>
      </c>
      <c r="J50" s="227">
        <v>14</v>
      </c>
      <c r="K50" s="513">
        <f t="shared" si="3"/>
        <v>0</v>
      </c>
    </row>
    <row r="51" spans="1:11" x14ac:dyDescent="0.2">
      <c r="A51" s="215" t="s">
        <v>347</v>
      </c>
      <c r="B51" s="219">
        <v>12</v>
      </c>
      <c r="C51" s="224">
        <v>0</v>
      </c>
      <c r="D51" s="225">
        <v>7</v>
      </c>
      <c r="E51" s="226">
        <f t="shared" si="0"/>
        <v>0</v>
      </c>
      <c r="F51" s="507">
        <v>8</v>
      </c>
      <c r="G51" s="495">
        <f t="shared" si="1"/>
        <v>0</v>
      </c>
      <c r="H51" s="225">
        <v>35</v>
      </c>
      <c r="I51" s="226">
        <f t="shared" si="2"/>
        <v>0</v>
      </c>
      <c r="J51" s="227">
        <v>18</v>
      </c>
      <c r="K51" s="513">
        <f t="shared" si="3"/>
        <v>0</v>
      </c>
    </row>
    <row r="52" spans="1:11" x14ac:dyDescent="0.2">
      <c r="A52" s="215" t="s">
        <v>348</v>
      </c>
      <c r="B52" s="219">
        <v>1</v>
      </c>
      <c r="C52" s="224">
        <v>0</v>
      </c>
      <c r="D52" s="225">
        <v>1</v>
      </c>
      <c r="E52" s="226">
        <f t="shared" si="0"/>
        <v>0</v>
      </c>
      <c r="F52" s="507">
        <v>4</v>
      </c>
      <c r="G52" s="495">
        <f t="shared" si="1"/>
        <v>0</v>
      </c>
      <c r="H52" s="225">
        <v>10</v>
      </c>
      <c r="I52" s="226">
        <f t="shared" si="2"/>
        <v>0</v>
      </c>
      <c r="J52" s="227">
        <v>3</v>
      </c>
      <c r="K52" s="513">
        <f t="shared" si="3"/>
        <v>0</v>
      </c>
    </row>
    <row r="53" spans="1:11" x14ac:dyDescent="0.2">
      <c r="A53" s="215" t="s">
        <v>266</v>
      </c>
      <c r="B53" s="219">
        <v>1</v>
      </c>
      <c r="C53" s="224">
        <v>0</v>
      </c>
      <c r="D53" s="225">
        <v>1</v>
      </c>
      <c r="E53" s="226">
        <f t="shared" si="0"/>
        <v>0</v>
      </c>
      <c r="F53" s="507">
        <v>6</v>
      </c>
      <c r="G53" s="495">
        <f t="shared" si="1"/>
        <v>0</v>
      </c>
      <c r="H53" s="225">
        <v>5</v>
      </c>
      <c r="I53" s="226">
        <f t="shared" si="2"/>
        <v>0</v>
      </c>
      <c r="J53" s="227">
        <v>6</v>
      </c>
      <c r="K53" s="513">
        <f t="shared" si="3"/>
        <v>0</v>
      </c>
    </row>
    <row r="54" spans="1:11" x14ac:dyDescent="0.2">
      <c r="A54" s="215" t="s">
        <v>267</v>
      </c>
      <c r="B54" s="219">
        <v>1</v>
      </c>
      <c r="C54" s="224">
        <v>0</v>
      </c>
      <c r="D54" s="225">
        <v>1</v>
      </c>
      <c r="E54" s="226">
        <f t="shared" si="0"/>
        <v>0</v>
      </c>
      <c r="F54" s="507">
        <v>12</v>
      </c>
      <c r="G54" s="495">
        <f t="shared" si="1"/>
        <v>0</v>
      </c>
      <c r="H54" s="225">
        <v>5</v>
      </c>
      <c r="I54" s="226">
        <f t="shared" si="2"/>
        <v>0</v>
      </c>
      <c r="J54" s="227">
        <v>4</v>
      </c>
      <c r="K54" s="513">
        <f t="shared" si="3"/>
        <v>0</v>
      </c>
    </row>
    <row r="55" spans="1:11" x14ac:dyDescent="0.2">
      <c r="A55" s="215" t="s">
        <v>268</v>
      </c>
      <c r="B55" s="219">
        <v>1</v>
      </c>
      <c r="C55" s="224">
        <v>0</v>
      </c>
      <c r="D55" s="225">
        <v>0</v>
      </c>
      <c r="E55" s="226">
        <f t="shared" si="0"/>
        <v>0</v>
      </c>
      <c r="F55" s="507">
        <v>0</v>
      </c>
      <c r="G55" s="495">
        <f t="shared" si="1"/>
        <v>0</v>
      </c>
      <c r="H55" s="225">
        <v>0</v>
      </c>
      <c r="I55" s="226">
        <f t="shared" si="2"/>
        <v>0</v>
      </c>
      <c r="J55" s="227">
        <v>0</v>
      </c>
      <c r="K55" s="513">
        <f t="shared" si="3"/>
        <v>0</v>
      </c>
    </row>
    <row r="56" spans="1:11" x14ac:dyDescent="0.2">
      <c r="A56" s="215" t="s">
        <v>269</v>
      </c>
      <c r="B56" s="219">
        <v>1</v>
      </c>
      <c r="C56" s="224">
        <v>0</v>
      </c>
      <c r="D56" s="225">
        <v>0</v>
      </c>
      <c r="E56" s="226">
        <f t="shared" si="0"/>
        <v>0</v>
      </c>
      <c r="F56" s="507">
        <v>5</v>
      </c>
      <c r="G56" s="495">
        <f t="shared" si="1"/>
        <v>0</v>
      </c>
      <c r="H56" s="225">
        <v>5</v>
      </c>
      <c r="I56" s="226">
        <f t="shared" si="2"/>
        <v>0</v>
      </c>
      <c r="J56" s="227">
        <v>0</v>
      </c>
      <c r="K56" s="513">
        <f t="shared" si="3"/>
        <v>0</v>
      </c>
    </row>
    <row r="57" spans="1:11" x14ac:dyDescent="0.2">
      <c r="A57" s="215" t="s">
        <v>236</v>
      </c>
      <c r="B57" s="219">
        <v>1</v>
      </c>
      <c r="C57" s="224">
        <v>0</v>
      </c>
      <c r="D57" s="225">
        <v>1</v>
      </c>
      <c r="E57" s="226">
        <f t="shared" si="0"/>
        <v>0</v>
      </c>
      <c r="F57" s="507">
        <v>4</v>
      </c>
      <c r="G57" s="495">
        <f t="shared" si="1"/>
        <v>0</v>
      </c>
      <c r="H57" s="225">
        <v>1</v>
      </c>
      <c r="I57" s="226">
        <f t="shared" si="2"/>
        <v>0</v>
      </c>
      <c r="J57" s="227">
        <v>1</v>
      </c>
      <c r="K57" s="513">
        <f t="shared" si="3"/>
        <v>0</v>
      </c>
    </row>
    <row r="58" spans="1:11" x14ac:dyDescent="0.2">
      <c r="A58" s="215" t="s">
        <v>270</v>
      </c>
      <c r="B58" s="219">
        <v>1</v>
      </c>
      <c r="C58" s="224">
        <v>0</v>
      </c>
      <c r="D58" s="225">
        <v>1</v>
      </c>
      <c r="E58" s="226">
        <f t="shared" si="0"/>
        <v>0</v>
      </c>
      <c r="F58" s="507">
        <v>6</v>
      </c>
      <c r="G58" s="495">
        <f t="shared" si="1"/>
        <v>0</v>
      </c>
      <c r="H58" s="225">
        <v>2</v>
      </c>
      <c r="I58" s="226">
        <f t="shared" si="2"/>
        <v>0</v>
      </c>
      <c r="J58" s="227">
        <v>1</v>
      </c>
      <c r="K58" s="513">
        <f t="shared" si="3"/>
        <v>0</v>
      </c>
    </row>
    <row r="59" spans="1:11" x14ac:dyDescent="0.2">
      <c r="A59" s="215" t="s">
        <v>271</v>
      </c>
      <c r="B59" s="219">
        <v>1</v>
      </c>
      <c r="C59" s="224">
        <v>0</v>
      </c>
      <c r="D59" s="225">
        <v>0</v>
      </c>
      <c r="E59" s="226">
        <f t="shared" si="0"/>
        <v>0</v>
      </c>
      <c r="F59" s="507">
        <v>0</v>
      </c>
      <c r="G59" s="495">
        <f t="shared" si="1"/>
        <v>0</v>
      </c>
      <c r="H59" s="225">
        <v>1</v>
      </c>
      <c r="I59" s="226">
        <f t="shared" si="2"/>
        <v>0</v>
      </c>
      <c r="J59" s="227">
        <v>0</v>
      </c>
      <c r="K59" s="513">
        <f t="shared" si="3"/>
        <v>0</v>
      </c>
    </row>
    <row r="60" spans="1:11" x14ac:dyDescent="0.2">
      <c r="A60" s="215" t="s">
        <v>272</v>
      </c>
      <c r="B60" s="219">
        <v>2</v>
      </c>
      <c r="C60" s="224">
        <v>0</v>
      </c>
      <c r="D60" s="225">
        <v>0</v>
      </c>
      <c r="E60" s="226">
        <f t="shared" si="0"/>
        <v>0</v>
      </c>
      <c r="F60" s="507">
        <v>0</v>
      </c>
      <c r="G60" s="495">
        <f t="shared" si="1"/>
        <v>0</v>
      </c>
      <c r="H60" s="225">
        <v>2</v>
      </c>
      <c r="I60" s="226">
        <f t="shared" si="2"/>
        <v>0</v>
      </c>
      <c r="J60" s="227">
        <v>1</v>
      </c>
      <c r="K60" s="513">
        <f t="shared" si="3"/>
        <v>0</v>
      </c>
    </row>
    <row r="61" spans="1:11" x14ac:dyDescent="0.2">
      <c r="A61" s="215" t="s">
        <v>273</v>
      </c>
      <c r="B61" s="219">
        <v>1</v>
      </c>
      <c r="C61" s="224">
        <v>0</v>
      </c>
      <c r="D61" s="225">
        <v>3</v>
      </c>
      <c r="E61" s="226">
        <f t="shared" si="0"/>
        <v>0</v>
      </c>
      <c r="F61" s="507">
        <v>0</v>
      </c>
      <c r="G61" s="495">
        <f t="shared" si="1"/>
        <v>0</v>
      </c>
      <c r="H61" s="225">
        <v>100</v>
      </c>
      <c r="I61" s="226">
        <f t="shared" si="2"/>
        <v>0</v>
      </c>
      <c r="J61" s="227">
        <v>5</v>
      </c>
      <c r="K61" s="513">
        <f t="shared" si="3"/>
        <v>0</v>
      </c>
    </row>
    <row r="62" spans="1:11" x14ac:dyDescent="0.2">
      <c r="A62" s="215" t="s">
        <v>274</v>
      </c>
      <c r="B62" s="219">
        <v>1</v>
      </c>
      <c r="C62" s="224">
        <v>0</v>
      </c>
      <c r="D62" s="225">
        <v>0</v>
      </c>
      <c r="E62" s="226">
        <f t="shared" si="0"/>
        <v>0</v>
      </c>
      <c r="F62" s="507">
        <v>0</v>
      </c>
      <c r="G62" s="495">
        <f t="shared" si="1"/>
        <v>0</v>
      </c>
      <c r="H62" s="225">
        <v>1</v>
      </c>
      <c r="I62" s="226">
        <f t="shared" si="2"/>
        <v>0</v>
      </c>
      <c r="J62" s="227">
        <v>21</v>
      </c>
      <c r="K62" s="513">
        <f t="shared" si="3"/>
        <v>0</v>
      </c>
    </row>
    <row r="63" spans="1:11" x14ac:dyDescent="0.2">
      <c r="A63" s="215" t="s">
        <v>275</v>
      </c>
      <c r="B63" s="219">
        <v>1</v>
      </c>
      <c r="C63" s="224">
        <v>0</v>
      </c>
      <c r="D63" s="225">
        <v>1</v>
      </c>
      <c r="E63" s="226">
        <f t="shared" si="0"/>
        <v>0</v>
      </c>
      <c r="F63" s="507">
        <v>10</v>
      </c>
      <c r="G63" s="495">
        <f t="shared" si="1"/>
        <v>0</v>
      </c>
      <c r="H63" s="225">
        <v>4</v>
      </c>
      <c r="I63" s="226">
        <f t="shared" si="2"/>
        <v>0</v>
      </c>
      <c r="J63" s="227">
        <v>13</v>
      </c>
      <c r="K63" s="513">
        <f t="shared" si="3"/>
        <v>0</v>
      </c>
    </row>
    <row r="64" spans="1:11" x14ac:dyDescent="0.2">
      <c r="A64" s="215" t="s">
        <v>349</v>
      </c>
      <c r="B64" s="219">
        <v>1</v>
      </c>
      <c r="C64" s="224">
        <v>0</v>
      </c>
      <c r="D64" s="225">
        <v>0</v>
      </c>
      <c r="E64" s="226">
        <f t="shared" si="0"/>
        <v>0</v>
      </c>
      <c r="F64" s="507">
        <v>0</v>
      </c>
      <c r="G64" s="495">
        <f t="shared" si="1"/>
        <v>0</v>
      </c>
      <c r="H64" s="225">
        <v>0</v>
      </c>
      <c r="I64" s="226">
        <f t="shared" si="2"/>
        <v>0</v>
      </c>
      <c r="J64" s="227">
        <v>4</v>
      </c>
      <c r="K64" s="513">
        <f t="shared" si="3"/>
        <v>0</v>
      </c>
    </row>
    <row r="65" spans="1:11" x14ac:dyDescent="0.2">
      <c r="A65" s="215" t="s">
        <v>276</v>
      </c>
      <c r="B65" s="219">
        <v>1</v>
      </c>
      <c r="C65" s="224">
        <v>0</v>
      </c>
      <c r="D65" s="225">
        <v>0</v>
      </c>
      <c r="E65" s="226">
        <f t="shared" si="0"/>
        <v>0</v>
      </c>
      <c r="F65" s="507">
        <v>0</v>
      </c>
      <c r="G65" s="495">
        <f t="shared" si="1"/>
        <v>0</v>
      </c>
      <c r="H65" s="225">
        <v>0</v>
      </c>
      <c r="I65" s="226">
        <f t="shared" si="2"/>
        <v>0</v>
      </c>
      <c r="J65" s="227">
        <v>0</v>
      </c>
      <c r="K65" s="513">
        <f t="shared" si="3"/>
        <v>0</v>
      </c>
    </row>
    <row r="66" spans="1:11" x14ac:dyDescent="0.2">
      <c r="A66" s="215" t="s">
        <v>350</v>
      </c>
      <c r="B66" s="219">
        <v>1</v>
      </c>
      <c r="C66" s="224">
        <v>0</v>
      </c>
      <c r="D66" s="225">
        <v>0</v>
      </c>
      <c r="E66" s="226">
        <f t="shared" si="0"/>
        <v>0</v>
      </c>
      <c r="F66" s="507">
        <v>0</v>
      </c>
      <c r="G66" s="495">
        <f t="shared" si="1"/>
        <v>0</v>
      </c>
      <c r="H66" s="225">
        <v>0</v>
      </c>
      <c r="I66" s="226">
        <f t="shared" si="2"/>
        <v>0</v>
      </c>
      <c r="J66" s="227">
        <v>0</v>
      </c>
      <c r="K66" s="513">
        <f t="shared" si="3"/>
        <v>0</v>
      </c>
    </row>
    <row r="67" spans="1:11" x14ac:dyDescent="0.2">
      <c r="A67" s="157" t="s">
        <v>351</v>
      </c>
      <c r="B67" s="156">
        <v>12</v>
      </c>
      <c r="C67" s="224">
        <v>0</v>
      </c>
      <c r="D67" s="225">
        <v>0</v>
      </c>
      <c r="E67" s="226">
        <f t="shared" si="0"/>
        <v>0</v>
      </c>
      <c r="F67" s="507">
        <v>0</v>
      </c>
      <c r="G67" s="495">
        <f t="shared" si="1"/>
        <v>0</v>
      </c>
      <c r="H67" s="225">
        <v>0</v>
      </c>
      <c r="I67" s="226">
        <f t="shared" si="2"/>
        <v>0</v>
      </c>
      <c r="J67" s="227">
        <v>0</v>
      </c>
      <c r="K67" s="513">
        <f t="shared" si="3"/>
        <v>0</v>
      </c>
    </row>
    <row r="68" spans="1:11" ht="13.5" thickBot="1" x14ac:dyDescent="0.25">
      <c r="A68" s="236" t="s">
        <v>352</v>
      </c>
      <c r="B68" s="237">
        <v>24</v>
      </c>
      <c r="C68" s="224">
        <v>0</v>
      </c>
      <c r="D68" s="238">
        <v>5</v>
      </c>
      <c r="E68" s="239">
        <f t="shared" si="0"/>
        <v>0</v>
      </c>
      <c r="F68" s="508">
        <v>0</v>
      </c>
      <c r="G68" s="495">
        <f t="shared" si="1"/>
        <v>0</v>
      </c>
      <c r="H68" s="238">
        <v>10</v>
      </c>
      <c r="I68" s="239">
        <f t="shared" si="2"/>
        <v>0</v>
      </c>
      <c r="J68" s="240">
        <v>0</v>
      </c>
      <c r="K68" s="514">
        <f t="shared" si="3"/>
        <v>0</v>
      </c>
    </row>
    <row r="69" spans="1:11" ht="13.5" thickBot="1" x14ac:dyDescent="0.25">
      <c r="A69" s="704" t="s">
        <v>316</v>
      </c>
      <c r="B69" s="705"/>
      <c r="C69" s="705"/>
      <c r="D69" s="234"/>
      <c r="E69" s="408">
        <f>SUM(E6:E68)</f>
        <v>0</v>
      </c>
      <c r="F69" s="492"/>
      <c r="G69" s="497">
        <f>SUM(G6:G68)</f>
        <v>0</v>
      </c>
      <c r="H69" s="234"/>
      <c r="I69" s="408">
        <f>SUM(I6:I68)</f>
        <v>0</v>
      </c>
      <c r="J69" s="235"/>
      <c r="K69" s="409">
        <f>SUM(K6:K68)</f>
        <v>0</v>
      </c>
    </row>
    <row r="70" spans="1:11" ht="13.5" thickBot="1" x14ac:dyDescent="0.25">
      <c r="A70" s="706"/>
      <c r="B70" s="707"/>
      <c r="C70" s="707"/>
      <c r="D70" s="707"/>
      <c r="E70" s="707"/>
      <c r="F70" s="708"/>
      <c r="G70" s="708"/>
      <c r="H70" s="707"/>
      <c r="I70" s="707"/>
      <c r="J70" s="707"/>
      <c r="K70" s="709"/>
    </row>
    <row r="71" spans="1:11" ht="12.75" customHeight="1" x14ac:dyDescent="0.2">
      <c r="A71" s="697" t="s">
        <v>391</v>
      </c>
      <c r="B71" s="723" t="str">
        <f>B4</f>
        <v>Periodicidade / Meses</v>
      </c>
      <c r="C71" s="664" t="str">
        <f>C4</f>
        <v xml:space="preserve">Valor Unitário </v>
      </c>
      <c r="D71" s="694" t="str">
        <f>D4</f>
        <v>CEGUA</v>
      </c>
      <c r="E71" s="695"/>
      <c r="F71" s="726" t="str">
        <f>F4</f>
        <v>CEPIR</v>
      </c>
      <c r="G71" s="727"/>
      <c r="H71" s="694" t="str">
        <f>H4</f>
        <v>CESJC</v>
      </c>
      <c r="I71" s="695"/>
      <c r="J71" s="662" t="str">
        <f>J4</f>
        <v>CESOR</v>
      </c>
      <c r="K71" s="695"/>
    </row>
    <row r="72" spans="1:11" ht="12.75" customHeight="1" thickBot="1" x14ac:dyDescent="0.25">
      <c r="A72" s="730"/>
      <c r="B72" s="724"/>
      <c r="C72" s="725"/>
      <c r="D72" s="214" t="str">
        <f>D5</f>
        <v>Quantidade</v>
      </c>
      <c r="E72" s="213" t="str">
        <f>E5</f>
        <v>Valor</v>
      </c>
      <c r="F72" s="214" t="str">
        <f>F5</f>
        <v>Quantidade</v>
      </c>
      <c r="G72" s="213" t="str">
        <f>G5</f>
        <v>Valor</v>
      </c>
      <c r="H72" s="214" t="str">
        <f>H5</f>
        <v>Quantidade</v>
      </c>
      <c r="I72" s="213" t="str">
        <f>I5</f>
        <v>Valor</v>
      </c>
      <c r="J72" s="218" t="str">
        <f>J5</f>
        <v>Quantidade</v>
      </c>
      <c r="K72" s="213" t="str">
        <f>K5</f>
        <v>Valor</v>
      </c>
    </row>
    <row r="73" spans="1:11" x14ac:dyDescent="0.2">
      <c r="A73" s="216" t="s">
        <v>277</v>
      </c>
      <c r="B73" s="217">
        <v>24</v>
      </c>
      <c r="C73" s="224">
        <v>0</v>
      </c>
      <c r="D73" s="448">
        <v>1</v>
      </c>
      <c r="E73" s="516">
        <f>ROUND((C73*D73)/B73,2)</f>
        <v>0</v>
      </c>
      <c r="F73" s="503">
        <v>4</v>
      </c>
      <c r="G73" s="480">
        <f>ROUND((C73*F73)/B73,2)</f>
        <v>0</v>
      </c>
      <c r="H73" s="448">
        <v>3</v>
      </c>
      <c r="I73" s="517">
        <f t="shared" ref="I73:I93" si="4">ROUND((C73*H73)/B73,2)</f>
        <v>0</v>
      </c>
      <c r="J73" s="448">
        <v>2</v>
      </c>
      <c r="K73" s="515">
        <f t="shared" ref="K73:K93" si="5">ROUND((C73*J73)/B73,2)</f>
        <v>0</v>
      </c>
    </row>
    <row r="74" spans="1:11" x14ac:dyDescent="0.2">
      <c r="A74" s="216" t="s">
        <v>354</v>
      </c>
      <c r="B74" s="217">
        <v>24</v>
      </c>
      <c r="C74" s="224">
        <v>0</v>
      </c>
      <c r="D74" s="448">
        <v>0</v>
      </c>
      <c r="E74" s="517">
        <f t="shared" ref="E74:E93" si="6">ROUND((C74*D74)/B74,2)</f>
        <v>0</v>
      </c>
      <c r="F74" s="504">
        <v>0</v>
      </c>
      <c r="G74" s="515">
        <f>ROUND((C74*F74)/B74,2)</f>
        <v>0</v>
      </c>
      <c r="H74" s="448">
        <v>1</v>
      </c>
      <c r="I74" s="517">
        <f t="shared" si="4"/>
        <v>0</v>
      </c>
      <c r="J74" s="448">
        <v>0</v>
      </c>
      <c r="K74" s="515">
        <f t="shared" si="5"/>
        <v>0</v>
      </c>
    </row>
    <row r="75" spans="1:11" x14ac:dyDescent="0.2">
      <c r="A75" s="216" t="s">
        <v>355</v>
      </c>
      <c r="B75" s="217">
        <v>12</v>
      </c>
      <c r="C75" s="224">
        <v>0</v>
      </c>
      <c r="D75" s="448">
        <v>0</v>
      </c>
      <c r="E75" s="517">
        <f t="shared" si="6"/>
        <v>0</v>
      </c>
      <c r="F75" s="504">
        <v>0</v>
      </c>
      <c r="G75" s="515">
        <f t="shared" ref="G75:G93" si="7">ROUND((C75*F75)/B75,2)</f>
        <v>0</v>
      </c>
      <c r="H75" s="448">
        <v>0</v>
      </c>
      <c r="I75" s="517">
        <f t="shared" si="4"/>
        <v>0</v>
      </c>
      <c r="J75" s="448">
        <v>0</v>
      </c>
      <c r="K75" s="515">
        <f t="shared" si="5"/>
        <v>0</v>
      </c>
    </row>
    <row r="76" spans="1:11" x14ac:dyDescent="0.2">
      <c r="A76" s="216" t="s">
        <v>453</v>
      </c>
      <c r="B76" s="217">
        <v>24</v>
      </c>
      <c r="C76" s="224">
        <v>0</v>
      </c>
      <c r="D76" s="448">
        <v>1</v>
      </c>
      <c r="E76" s="517">
        <f t="shared" si="6"/>
        <v>0</v>
      </c>
      <c r="F76" s="504">
        <v>2</v>
      </c>
      <c r="G76" s="515">
        <f t="shared" si="7"/>
        <v>0</v>
      </c>
      <c r="H76" s="448">
        <v>2</v>
      </c>
      <c r="I76" s="517">
        <f t="shared" si="4"/>
        <v>0</v>
      </c>
      <c r="J76" s="448">
        <v>2</v>
      </c>
      <c r="K76" s="515">
        <f t="shared" si="5"/>
        <v>0</v>
      </c>
    </row>
    <row r="77" spans="1:11" x14ac:dyDescent="0.2">
      <c r="A77" s="216" t="s">
        <v>278</v>
      </c>
      <c r="B77" s="217">
        <v>24</v>
      </c>
      <c r="C77" s="224">
        <v>0</v>
      </c>
      <c r="D77" s="448">
        <v>1</v>
      </c>
      <c r="E77" s="517">
        <f t="shared" si="6"/>
        <v>0</v>
      </c>
      <c r="F77" s="504">
        <v>2</v>
      </c>
      <c r="G77" s="515">
        <f t="shared" si="7"/>
        <v>0</v>
      </c>
      <c r="H77" s="448">
        <v>1</v>
      </c>
      <c r="I77" s="517">
        <f t="shared" si="4"/>
        <v>0</v>
      </c>
      <c r="J77" s="448">
        <v>2</v>
      </c>
      <c r="K77" s="515">
        <f t="shared" si="5"/>
        <v>0</v>
      </c>
    </row>
    <row r="78" spans="1:11" x14ac:dyDescent="0.2">
      <c r="A78" s="216" t="s">
        <v>356</v>
      </c>
      <c r="B78" s="217">
        <v>60</v>
      </c>
      <c r="C78" s="224">
        <v>0</v>
      </c>
      <c r="D78" s="448">
        <v>0</v>
      </c>
      <c r="E78" s="517">
        <f t="shared" si="6"/>
        <v>0</v>
      </c>
      <c r="F78" s="504">
        <v>0</v>
      </c>
      <c r="G78" s="515">
        <f t="shared" si="7"/>
        <v>0</v>
      </c>
      <c r="H78" s="448">
        <v>0</v>
      </c>
      <c r="I78" s="517">
        <f t="shared" si="4"/>
        <v>0</v>
      </c>
      <c r="J78" s="448">
        <v>0</v>
      </c>
      <c r="K78" s="515">
        <f t="shared" si="5"/>
        <v>0</v>
      </c>
    </row>
    <row r="79" spans="1:11" x14ac:dyDescent="0.2">
      <c r="A79" s="216" t="s">
        <v>357</v>
      </c>
      <c r="B79" s="217">
        <v>60</v>
      </c>
      <c r="C79" s="224">
        <v>0</v>
      </c>
      <c r="D79" s="448">
        <v>0</v>
      </c>
      <c r="E79" s="517">
        <f t="shared" si="6"/>
        <v>0</v>
      </c>
      <c r="F79" s="504">
        <v>0</v>
      </c>
      <c r="G79" s="515">
        <f t="shared" si="7"/>
        <v>0</v>
      </c>
      <c r="H79" s="448">
        <v>0</v>
      </c>
      <c r="I79" s="517">
        <f t="shared" si="4"/>
        <v>0</v>
      </c>
      <c r="J79" s="448">
        <v>0</v>
      </c>
      <c r="K79" s="515">
        <f t="shared" si="5"/>
        <v>0</v>
      </c>
    </row>
    <row r="80" spans="1:11" ht="25.5" x14ac:dyDescent="0.2">
      <c r="A80" s="447" t="s">
        <v>358</v>
      </c>
      <c r="B80" s="217">
        <v>60</v>
      </c>
      <c r="C80" s="224">
        <v>0</v>
      </c>
      <c r="D80" s="448">
        <v>0</v>
      </c>
      <c r="E80" s="517">
        <f t="shared" si="6"/>
        <v>0</v>
      </c>
      <c r="F80" s="504">
        <v>0</v>
      </c>
      <c r="G80" s="515">
        <f t="shared" si="7"/>
        <v>0</v>
      </c>
      <c r="H80" s="448">
        <v>0</v>
      </c>
      <c r="I80" s="517">
        <f t="shared" si="4"/>
        <v>0</v>
      </c>
      <c r="J80" s="448">
        <v>0</v>
      </c>
      <c r="K80" s="515">
        <f t="shared" si="5"/>
        <v>0</v>
      </c>
    </row>
    <row r="81" spans="1:11" x14ac:dyDescent="0.2">
      <c r="A81" s="216" t="s">
        <v>279</v>
      </c>
      <c r="B81" s="217">
        <v>24</v>
      </c>
      <c r="C81" s="224">
        <v>0</v>
      </c>
      <c r="D81" s="448">
        <v>0</v>
      </c>
      <c r="E81" s="517">
        <f t="shared" si="6"/>
        <v>0</v>
      </c>
      <c r="F81" s="504">
        <v>2</v>
      </c>
      <c r="G81" s="515">
        <f t="shared" si="7"/>
        <v>0</v>
      </c>
      <c r="H81" s="448">
        <v>1</v>
      </c>
      <c r="I81" s="517">
        <f t="shared" si="4"/>
        <v>0</v>
      </c>
      <c r="J81" s="448">
        <v>2</v>
      </c>
      <c r="K81" s="515">
        <f t="shared" si="5"/>
        <v>0</v>
      </c>
    </row>
    <row r="82" spans="1:11" x14ac:dyDescent="0.2">
      <c r="A82" s="216" t="s">
        <v>280</v>
      </c>
      <c r="B82" s="217">
        <v>36</v>
      </c>
      <c r="C82" s="224">
        <v>0</v>
      </c>
      <c r="D82" s="448">
        <v>1</v>
      </c>
      <c r="E82" s="517">
        <f t="shared" si="6"/>
        <v>0</v>
      </c>
      <c r="F82" s="504">
        <v>2</v>
      </c>
      <c r="G82" s="515">
        <f t="shared" si="7"/>
        <v>0</v>
      </c>
      <c r="H82" s="448">
        <v>1</v>
      </c>
      <c r="I82" s="517">
        <f t="shared" si="4"/>
        <v>0</v>
      </c>
      <c r="J82" s="448">
        <v>2</v>
      </c>
      <c r="K82" s="515">
        <f t="shared" si="5"/>
        <v>0</v>
      </c>
    </row>
    <row r="83" spans="1:11" x14ac:dyDescent="0.2">
      <c r="A83" s="216" t="s">
        <v>359</v>
      </c>
      <c r="B83" s="217">
        <v>36</v>
      </c>
      <c r="C83" s="224">
        <v>0</v>
      </c>
      <c r="D83" s="448">
        <v>0</v>
      </c>
      <c r="E83" s="517">
        <f t="shared" si="6"/>
        <v>0</v>
      </c>
      <c r="F83" s="504">
        <v>0</v>
      </c>
      <c r="G83" s="515">
        <f t="shared" si="7"/>
        <v>0</v>
      </c>
      <c r="H83" s="448">
        <v>1</v>
      </c>
      <c r="I83" s="517">
        <f t="shared" si="4"/>
        <v>0</v>
      </c>
      <c r="J83" s="448">
        <v>0</v>
      </c>
      <c r="K83" s="515">
        <f t="shared" si="5"/>
        <v>0</v>
      </c>
    </row>
    <row r="84" spans="1:11" x14ac:dyDescent="0.2">
      <c r="A84" s="216" t="s">
        <v>338</v>
      </c>
      <c r="B84" s="217">
        <v>36</v>
      </c>
      <c r="C84" s="224">
        <v>0</v>
      </c>
      <c r="D84" s="448">
        <v>1</v>
      </c>
      <c r="E84" s="517">
        <f t="shared" si="6"/>
        <v>0</v>
      </c>
      <c r="F84" s="504">
        <v>0</v>
      </c>
      <c r="G84" s="515">
        <f t="shared" si="7"/>
        <v>0</v>
      </c>
      <c r="H84" s="448">
        <v>5</v>
      </c>
      <c r="I84" s="517">
        <f t="shared" si="4"/>
        <v>0</v>
      </c>
      <c r="J84" s="448">
        <v>2</v>
      </c>
      <c r="K84" s="515">
        <f t="shared" si="5"/>
        <v>0</v>
      </c>
    </row>
    <row r="85" spans="1:11" x14ac:dyDescent="0.2">
      <c r="A85" s="216" t="s">
        <v>360</v>
      </c>
      <c r="B85" s="217">
        <v>36</v>
      </c>
      <c r="C85" s="224">
        <v>0</v>
      </c>
      <c r="D85" s="448">
        <v>0</v>
      </c>
      <c r="E85" s="517">
        <f t="shared" si="6"/>
        <v>0</v>
      </c>
      <c r="F85" s="504">
        <v>0</v>
      </c>
      <c r="G85" s="515">
        <f t="shared" si="7"/>
        <v>0</v>
      </c>
      <c r="H85" s="448">
        <v>0</v>
      </c>
      <c r="I85" s="517">
        <f t="shared" si="4"/>
        <v>0</v>
      </c>
      <c r="J85" s="448">
        <v>0</v>
      </c>
      <c r="K85" s="515">
        <f t="shared" si="5"/>
        <v>0</v>
      </c>
    </row>
    <row r="86" spans="1:11" x14ac:dyDescent="0.2">
      <c r="A86" s="216" t="s">
        <v>281</v>
      </c>
      <c r="B86" s="217">
        <v>36</v>
      </c>
      <c r="C86" s="224">
        <v>0</v>
      </c>
      <c r="D86" s="448">
        <v>0</v>
      </c>
      <c r="E86" s="517">
        <f t="shared" si="6"/>
        <v>0</v>
      </c>
      <c r="F86" s="504">
        <v>2</v>
      </c>
      <c r="G86" s="515">
        <f t="shared" si="7"/>
        <v>0</v>
      </c>
      <c r="H86" s="448">
        <v>0</v>
      </c>
      <c r="I86" s="517">
        <f t="shared" si="4"/>
        <v>0</v>
      </c>
      <c r="J86" s="448">
        <v>0</v>
      </c>
      <c r="K86" s="515">
        <f t="shared" si="5"/>
        <v>0</v>
      </c>
    </row>
    <row r="87" spans="1:11" x14ac:dyDescent="0.2">
      <c r="A87" s="216" t="s">
        <v>282</v>
      </c>
      <c r="B87" s="217">
        <v>12</v>
      </c>
      <c r="C87" s="224">
        <v>0</v>
      </c>
      <c r="D87" s="448">
        <v>1</v>
      </c>
      <c r="E87" s="517">
        <f t="shared" si="6"/>
        <v>0</v>
      </c>
      <c r="F87" s="504">
        <v>2</v>
      </c>
      <c r="G87" s="515">
        <f t="shared" si="7"/>
        <v>0</v>
      </c>
      <c r="H87" s="448">
        <v>1</v>
      </c>
      <c r="I87" s="517">
        <f t="shared" si="4"/>
        <v>0</v>
      </c>
      <c r="J87" s="448">
        <v>2</v>
      </c>
      <c r="K87" s="515">
        <f t="shared" si="5"/>
        <v>0</v>
      </c>
    </row>
    <row r="88" spans="1:11" x14ac:dyDescent="0.2">
      <c r="A88" s="216" t="s">
        <v>361</v>
      </c>
      <c r="B88" s="217">
        <v>12</v>
      </c>
      <c r="C88" s="224">
        <v>0</v>
      </c>
      <c r="D88" s="448">
        <v>1</v>
      </c>
      <c r="E88" s="517">
        <f t="shared" si="6"/>
        <v>0</v>
      </c>
      <c r="F88" s="504">
        <v>2</v>
      </c>
      <c r="G88" s="515">
        <f t="shared" si="7"/>
        <v>0</v>
      </c>
      <c r="H88" s="448">
        <v>1</v>
      </c>
      <c r="I88" s="517">
        <f t="shared" si="4"/>
        <v>0</v>
      </c>
      <c r="J88" s="448">
        <v>2</v>
      </c>
      <c r="K88" s="515">
        <f t="shared" si="5"/>
        <v>0</v>
      </c>
    </row>
    <row r="89" spans="1:11" x14ac:dyDescent="0.2">
      <c r="A89" s="216" t="s">
        <v>315</v>
      </c>
      <c r="B89" s="217">
        <v>24</v>
      </c>
      <c r="C89" s="224">
        <v>0</v>
      </c>
      <c r="D89" s="448">
        <v>1</v>
      </c>
      <c r="E89" s="517">
        <f t="shared" si="6"/>
        <v>0</v>
      </c>
      <c r="F89" s="504">
        <v>1</v>
      </c>
      <c r="G89" s="515">
        <f t="shared" si="7"/>
        <v>0</v>
      </c>
      <c r="H89" s="448">
        <v>2</v>
      </c>
      <c r="I89" s="517">
        <f t="shared" si="4"/>
        <v>0</v>
      </c>
      <c r="J89" s="448">
        <v>2</v>
      </c>
      <c r="K89" s="515">
        <f t="shared" si="5"/>
        <v>0</v>
      </c>
    </row>
    <row r="90" spans="1:11" x14ac:dyDescent="0.2">
      <c r="A90" s="216" t="s">
        <v>283</v>
      </c>
      <c r="B90" s="217">
        <v>24</v>
      </c>
      <c r="C90" s="224">
        <v>0</v>
      </c>
      <c r="D90" s="448">
        <v>1</v>
      </c>
      <c r="E90" s="517">
        <f t="shared" si="6"/>
        <v>0</v>
      </c>
      <c r="F90" s="504">
        <v>1</v>
      </c>
      <c r="G90" s="515">
        <f t="shared" si="7"/>
        <v>0</v>
      </c>
      <c r="H90" s="448">
        <v>1</v>
      </c>
      <c r="I90" s="517">
        <f t="shared" si="4"/>
        <v>0</v>
      </c>
      <c r="J90" s="448">
        <v>2</v>
      </c>
      <c r="K90" s="515">
        <f t="shared" si="5"/>
        <v>0</v>
      </c>
    </row>
    <row r="91" spans="1:11" x14ac:dyDescent="0.2">
      <c r="A91" s="216" t="s">
        <v>362</v>
      </c>
      <c r="B91" s="217">
        <v>24</v>
      </c>
      <c r="C91" s="224">
        <v>0</v>
      </c>
      <c r="D91" s="448">
        <v>0</v>
      </c>
      <c r="E91" s="517">
        <f t="shared" si="6"/>
        <v>0</v>
      </c>
      <c r="F91" s="504">
        <v>2</v>
      </c>
      <c r="G91" s="515">
        <f t="shared" si="7"/>
        <v>0</v>
      </c>
      <c r="H91" s="448">
        <v>1</v>
      </c>
      <c r="I91" s="517">
        <f t="shared" si="4"/>
        <v>0</v>
      </c>
      <c r="J91" s="448">
        <v>2</v>
      </c>
      <c r="K91" s="515">
        <f t="shared" si="5"/>
        <v>0</v>
      </c>
    </row>
    <row r="92" spans="1:11" x14ac:dyDescent="0.2">
      <c r="A92" s="216" t="s">
        <v>284</v>
      </c>
      <c r="B92" s="217">
        <v>12</v>
      </c>
      <c r="C92" s="224">
        <v>0</v>
      </c>
      <c r="D92" s="448">
        <v>0</v>
      </c>
      <c r="E92" s="517">
        <f t="shared" si="6"/>
        <v>0</v>
      </c>
      <c r="F92" s="504">
        <v>0</v>
      </c>
      <c r="G92" s="515">
        <f t="shared" si="7"/>
        <v>0</v>
      </c>
      <c r="H92" s="448">
        <v>0</v>
      </c>
      <c r="I92" s="517">
        <f t="shared" si="4"/>
        <v>0</v>
      </c>
      <c r="J92" s="448">
        <v>0</v>
      </c>
      <c r="K92" s="515">
        <f t="shared" si="5"/>
        <v>0</v>
      </c>
    </row>
    <row r="93" spans="1:11" ht="13.5" thickBot="1" x14ac:dyDescent="0.25">
      <c r="A93" s="232" t="s">
        <v>363</v>
      </c>
      <c r="B93" s="233">
        <v>12</v>
      </c>
      <c r="C93" s="224">
        <v>0</v>
      </c>
      <c r="D93" s="448">
        <v>0</v>
      </c>
      <c r="E93" s="517">
        <f t="shared" si="6"/>
        <v>0</v>
      </c>
      <c r="F93" s="505">
        <v>0</v>
      </c>
      <c r="G93" s="515">
        <f t="shared" si="7"/>
        <v>0</v>
      </c>
      <c r="H93" s="448">
        <v>0</v>
      </c>
      <c r="I93" s="517">
        <f t="shared" si="4"/>
        <v>0</v>
      </c>
      <c r="J93" s="448">
        <v>0</v>
      </c>
      <c r="K93" s="515">
        <f t="shared" si="5"/>
        <v>0</v>
      </c>
    </row>
    <row r="94" spans="1:11" ht="13.5" thickBot="1" x14ac:dyDescent="0.25">
      <c r="A94" s="704" t="s">
        <v>225</v>
      </c>
      <c r="B94" s="728"/>
      <c r="C94" s="729"/>
      <c r="D94" s="234"/>
      <c r="E94" s="241">
        <f>SUM(E73:E93)</f>
        <v>0</v>
      </c>
      <c r="F94" s="492"/>
      <c r="G94" s="241">
        <f>SUM(G73:G93)</f>
        <v>0</v>
      </c>
      <c r="H94" s="234"/>
      <c r="I94" s="241">
        <f>SUM(I73:I93)</f>
        <v>0</v>
      </c>
      <c r="J94" s="235"/>
      <c r="K94" s="242">
        <f>SUM(K73:K93)</f>
        <v>0</v>
      </c>
    </row>
    <row r="95" spans="1:11" ht="13.5" thickBot="1" x14ac:dyDescent="0.25">
      <c r="A95" s="706"/>
      <c r="B95" s="707"/>
      <c r="C95" s="707"/>
      <c r="D95" s="707"/>
      <c r="E95" s="707"/>
      <c r="F95" s="708"/>
      <c r="G95" s="708"/>
      <c r="H95" s="707"/>
      <c r="I95" s="707"/>
      <c r="J95" s="707"/>
      <c r="K95" s="709"/>
    </row>
    <row r="96" spans="1:11" x14ac:dyDescent="0.2">
      <c r="A96" s="697" t="s">
        <v>226</v>
      </c>
      <c r="B96" s="723" t="str">
        <f>B71</f>
        <v>Periodicidade / Meses</v>
      </c>
      <c r="C96" s="701" t="str">
        <f>C71</f>
        <v xml:space="preserve">Valor Unitário </v>
      </c>
      <c r="D96" s="694" t="str">
        <f>D71</f>
        <v>CEGUA</v>
      </c>
      <c r="E96" s="695"/>
      <c r="F96" s="726" t="str">
        <f>F71</f>
        <v>CEPIR</v>
      </c>
      <c r="G96" s="727"/>
      <c r="H96" s="694" t="str">
        <f>H71</f>
        <v>CESJC</v>
      </c>
      <c r="I96" s="695"/>
      <c r="J96" s="662" t="str">
        <f>J71</f>
        <v>CESOR</v>
      </c>
      <c r="K96" s="695"/>
    </row>
    <row r="97" spans="1:11" ht="12.75" customHeight="1" thickBot="1" x14ac:dyDescent="0.25">
      <c r="A97" s="730"/>
      <c r="B97" s="724"/>
      <c r="C97" s="735"/>
      <c r="D97" s="214" t="str">
        <f>D72</f>
        <v>Quantidade</v>
      </c>
      <c r="E97" s="383" t="str">
        <f>E72</f>
        <v>Valor</v>
      </c>
      <c r="F97" s="214" t="str">
        <f>F72</f>
        <v>Quantidade</v>
      </c>
      <c r="G97" s="453" t="str">
        <f>G72</f>
        <v>Valor</v>
      </c>
      <c r="H97" s="214" t="str">
        <f>H72</f>
        <v>Quantidade</v>
      </c>
      <c r="I97" s="383" t="str">
        <f>I72</f>
        <v>Valor</v>
      </c>
      <c r="J97" s="218" t="str">
        <f>J72</f>
        <v>Quantidade</v>
      </c>
      <c r="K97" s="213" t="str">
        <f>K72</f>
        <v>Valor</v>
      </c>
    </row>
    <row r="98" spans="1:11" ht="25.5" x14ac:dyDescent="0.2">
      <c r="A98" s="449" t="s">
        <v>364</v>
      </c>
      <c r="B98" s="248">
        <v>6</v>
      </c>
      <c r="C98" s="224">
        <v>0</v>
      </c>
      <c r="D98" s="264">
        <v>10</v>
      </c>
      <c r="E98" s="251">
        <f>ROUND((C98*D98)/B98,2)</f>
        <v>0</v>
      </c>
      <c r="F98" s="501">
        <v>2</v>
      </c>
      <c r="G98" s="499">
        <f>ROUND((C98*F98)/B98,2)</f>
        <v>0</v>
      </c>
      <c r="H98" s="254">
        <v>3</v>
      </c>
      <c r="I98" s="251">
        <f>ROUND((C98*H98)/B98,2)</f>
        <v>0</v>
      </c>
      <c r="J98" s="245">
        <v>5</v>
      </c>
      <c r="K98" s="251">
        <f>ROUND((C98*J98)/B98,2)</f>
        <v>0</v>
      </c>
    </row>
    <row r="99" spans="1:11" x14ac:dyDescent="0.2">
      <c r="A99" s="163" t="s">
        <v>365</v>
      </c>
      <c r="B99" s="249">
        <v>36</v>
      </c>
      <c r="C99" s="224">
        <v>0</v>
      </c>
      <c r="D99" s="264">
        <v>0</v>
      </c>
      <c r="E99" s="252">
        <f>ROUND((C99*D99)/B99,2)</f>
        <v>0</v>
      </c>
      <c r="F99" s="502">
        <v>1</v>
      </c>
      <c r="G99" s="500">
        <f>ROUND((C99*F99)/B99,2)</f>
        <v>0</v>
      </c>
      <c r="H99" s="255">
        <v>1</v>
      </c>
      <c r="I99" s="252">
        <f>ROUND((C99*H99)/B99,2)</f>
        <v>0</v>
      </c>
      <c r="J99" s="246">
        <v>1</v>
      </c>
      <c r="K99" s="251">
        <f t="shared" ref="K99:K102" si="8">ROUND((C99*J99)/B99,2)</f>
        <v>0</v>
      </c>
    </row>
    <row r="100" spans="1:11" x14ac:dyDescent="0.2">
      <c r="A100" s="163" t="s">
        <v>366</v>
      </c>
      <c r="B100" s="249">
        <v>36</v>
      </c>
      <c r="C100" s="224">
        <v>0</v>
      </c>
      <c r="D100" s="264">
        <v>1</v>
      </c>
      <c r="E100" s="252">
        <f>ROUND((C100*D100)/B100,2)</f>
        <v>0</v>
      </c>
      <c r="F100" s="502">
        <v>1</v>
      </c>
      <c r="G100" s="500">
        <f t="shared" ref="G100:G102" si="9">ROUND((C100*F100)/B100,2)</f>
        <v>0</v>
      </c>
      <c r="H100" s="255">
        <v>1</v>
      </c>
      <c r="I100" s="252">
        <f>ROUND((C100*H100)/B100,2)</f>
        <v>0</v>
      </c>
      <c r="J100" s="246">
        <v>1</v>
      </c>
      <c r="K100" s="251">
        <f t="shared" si="8"/>
        <v>0</v>
      </c>
    </row>
    <row r="101" spans="1:11" x14ac:dyDescent="0.2">
      <c r="A101" s="163" t="s">
        <v>285</v>
      </c>
      <c r="B101" s="250">
        <v>12</v>
      </c>
      <c r="C101" s="224">
        <v>0</v>
      </c>
      <c r="D101" s="264">
        <v>1</v>
      </c>
      <c r="E101" s="252">
        <f>ROUND((C101*D101)/B101,2)</f>
        <v>0</v>
      </c>
      <c r="F101" s="502">
        <v>2</v>
      </c>
      <c r="G101" s="500">
        <f t="shared" si="9"/>
        <v>0</v>
      </c>
      <c r="H101" s="255">
        <v>1</v>
      </c>
      <c r="I101" s="252">
        <f>ROUND((C101*H101)/B101,2)</f>
        <v>0</v>
      </c>
      <c r="J101" s="246">
        <v>2</v>
      </c>
      <c r="K101" s="251">
        <f t="shared" si="8"/>
        <v>0</v>
      </c>
    </row>
    <row r="102" spans="1:11" x14ac:dyDescent="0.2">
      <c r="A102" s="163" t="s">
        <v>286</v>
      </c>
      <c r="B102" s="250">
        <v>12</v>
      </c>
      <c r="C102" s="224">
        <v>0</v>
      </c>
      <c r="D102" s="264">
        <v>1</v>
      </c>
      <c r="E102" s="252">
        <f>ROUND((C102*D102)/B102,2)</f>
        <v>0</v>
      </c>
      <c r="F102" s="502">
        <v>2</v>
      </c>
      <c r="G102" s="500">
        <f t="shared" si="9"/>
        <v>0</v>
      </c>
      <c r="H102" s="255">
        <v>2</v>
      </c>
      <c r="I102" s="252">
        <f>ROUND((C102*H102)/B102,2)</f>
        <v>0</v>
      </c>
      <c r="J102" s="246">
        <v>2</v>
      </c>
      <c r="K102" s="251">
        <f t="shared" si="8"/>
        <v>0</v>
      </c>
    </row>
    <row r="103" spans="1:11" ht="13.5" thickBot="1" x14ac:dyDescent="0.25">
      <c r="A103" s="702" t="s">
        <v>229</v>
      </c>
      <c r="B103" s="731"/>
      <c r="C103" s="732"/>
      <c r="D103" s="244"/>
      <c r="E103" s="253">
        <f>SUM(E98:E102)</f>
        <v>0</v>
      </c>
      <c r="F103" s="493"/>
      <c r="G103" s="493"/>
      <c r="H103" s="244"/>
      <c r="I103" s="253">
        <f>SUM(I98:I102)</f>
        <v>0</v>
      </c>
      <c r="J103" s="247"/>
      <c r="K103" s="256">
        <f>SUM(K98:K102)</f>
        <v>0</v>
      </c>
    </row>
    <row r="104" spans="1:11" ht="12.75" customHeight="1" thickBot="1" x14ac:dyDescent="0.25">
      <c r="A104" s="733"/>
      <c r="B104" s="708"/>
      <c r="C104" s="708"/>
      <c r="D104" s="708"/>
      <c r="E104" s="708"/>
      <c r="F104" s="708"/>
      <c r="G104" s="708"/>
      <c r="H104" s="708"/>
      <c r="I104" s="708"/>
      <c r="J104" s="708"/>
      <c r="K104" s="734"/>
    </row>
    <row r="105" spans="1:11" ht="13.5" customHeight="1" x14ac:dyDescent="0.2">
      <c r="A105" s="697" t="s">
        <v>458</v>
      </c>
      <c r="B105" s="699" t="s">
        <v>228</v>
      </c>
      <c r="C105" s="701" t="s">
        <v>423</v>
      </c>
      <c r="D105" s="663" t="str">
        <f>D96</f>
        <v>CEGUA</v>
      </c>
      <c r="E105" s="666"/>
      <c r="F105" s="726" t="str">
        <f>F96</f>
        <v>CEPIR</v>
      </c>
      <c r="G105" s="727"/>
      <c r="H105" s="694" t="str">
        <f>H96</f>
        <v>CESJC</v>
      </c>
      <c r="I105" s="695"/>
      <c r="J105" s="662" t="str">
        <f>J96</f>
        <v>CESOR</v>
      </c>
      <c r="K105" s="696"/>
    </row>
    <row r="106" spans="1:11" ht="12.75" customHeight="1" thickBot="1" x14ac:dyDescent="0.25">
      <c r="A106" s="698"/>
      <c r="B106" s="700"/>
      <c r="C106" s="661"/>
      <c r="D106" s="260" t="str">
        <f>D97</f>
        <v>Quantidade</v>
      </c>
      <c r="E106" s="450" t="str">
        <f>E97</f>
        <v>Valor</v>
      </c>
      <c r="F106" s="260" t="str">
        <f>F97</f>
        <v>Quantidade</v>
      </c>
      <c r="G106" s="452" t="str">
        <f>G97</f>
        <v>Valor</v>
      </c>
      <c r="H106" s="257" t="str">
        <f>H97</f>
        <v>Quantidade</v>
      </c>
      <c r="I106" s="258" t="str">
        <f>I97</f>
        <v>Valor</v>
      </c>
      <c r="J106" s="259" t="str">
        <f>J97</f>
        <v>Quantidade</v>
      </c>
      <c r="K106" s="158" t="str">
        <f>K97</f>
        <v>Valor</v>
      </c>
    </row>
    <row r="107" spans="1:11" ht="76.5" x14ac:dyDescent="0.2">
      <c r="A107" s="477" t="s">
        <v>454</v>
      </c>
      <c r="B107" s="462">
        <v>0.1</v>
      </c>
      <c r="C107" s="464">
        <v>0</v>
      </c>
      <c r="D107" s="461">
        <v>0</v>
      </c>
      <c r="E107" s="466">
        <f>ROUND(((C107*B107)*D107)/12,2)</f>
        <v>0</v>
      </c>
      <c r="F107" s="509">
        <v>0</v>
      </c>
      <c r="G107" s="466">
        <f>ROUND(((C107*F107)*B107)/12,2)</f>
        <v>0</v>
      </c>
      <c r="H107" s="459">
        <v>0</v>
      </c>
      <c r="I107" s="464">
        <f>ROUND(((B107*C107)*H107)/12,2)</f>
        <v>0</v>
      </c>
      <c r="J107" s="461">
        <v>0</v>
      </c>
      <c r="K107" s="466">
        <f>ROUND(((B107*C107)*J107)/12,2)</f>
        <v>0</v>
      </c>
    </row>
    <row r="108" spans="1:11" x14ac:dyDescent="0.2">
      <c r="A108" s="475" t="s">
        <v>367</v>
      </c>
      <c r="B108" s="463">
        <v>0.1</v>
      </c>
      <c r="C108" s="465">
        <v>0</v>
      </c>
      <c r="D108" s="458">
        <v>1</v>
      </c>
      <c r="E108" s="467">
        <f>ROUND(((C108*B108)*D108)/12,2)</f>
        <v>0</v>
      </c>
      <c r="F108" s="510">
        <v>1</v>
      </c>
      <c r="G108" s="498">
        <f>ROUND(((C108*F108)*B108)/12,2)</f>
        <v>0</v>
      </c>
      <c r="H108" s="460">
        <v>1</v>
      </c>
      <c r="I108" s="465">
        <f>ROUND(((B108*C108)*H108)/12,2)</f>
        <v>0</v>
      </c>
      <c r="J108" s="458">
        <v>1</v>
      </c>
      <c r="K108" s="467">
        <f>ROUND(((B108*C108)*J108)/12,2)</f>
        <v>0</v>
      </c>
    </row>
    <row r="109" spans="1:11" x14ac:dyDescent="0.2">
      <c r="A109" s="475" t="s">
        <v>368</v>
      </c>
      <c r="B109" s="463">
        <v>0.1</v>
      </c>
      <c r="C109" s="465">
        <v>0</v>
      </c>
      <c r="D109" s="458">
        <v>0</v>
      </c>
      <c r="E109" s="467">
        <f t="shared" ref="E109:E111" si="10">ROUND(((C109*B109)*D109)/12,2)</f>
        <v>0</v>
      </c>
      <c r="F109" s="510">
        <v>1</v>
      </c>
      <c r="G109" s="498">
        <f t="shared" ref="G109:G111" si="11">ROUND(((C109*F109)*B109)/12,2)</f>
        <v>0</v>
      </c>
      <c r="H109" s="460">
        <v>0</v>
      </c>
      <c r="I109" s="465">
        <f t="shared" ref="I109:I111" si="12">ROUND(((B109*C109)*H109)/12,2)</f>
        <v>0</v>
      </c>
      <c r="J109" s="458">
        <v>0</v>
      </c>
      <c r="K109" s="467">
        <f t="shared" ref="K109:K111" si="13">ROUND(((B109*C109)*J109)/12,2)</f>
        <v>0</v>
      </c>
    </row>
    <row r="110" spans="1:11" x14ac:dyDescent="0.2">
      <c r="A110" s="475" t="s">
        <v>372</v>
      </c>
      <c r="B110" s="463">
        <v>0.1</v>
      </c>
      <c r="C110" s="465">
        <v>0</v>
      </c>
      <c r="D110" s="458">
        <v>1</v>
      </c>
      <c r="E110" s="467">
        <f t="shared" si="10"/>
        <v>0</v>
      </c>
      <c r="F110" s="510">
        <v>1</v>
      </c>
      <c r="G110" s="498">
        <f t="shared" si="11"/>
        <v>0</v>
      </c>
      <c r="H110" s="460">
        <v>0</v>
      </c>
      <c r="I110" s="465">
        <f t="shared" si="12"/>
        <v>0</v>
      </c>
      <c r="J110" s="458">
        <v>0</v>
      </c>
      <c r="K110" s="467">
        <f t="shared" si="13"/>
        <v>0</v>
      </c>
    </row>
    <row r="111" spans="1:11" x14ac:dyDescent="0.2">
      <c r="A111" s="476" t="s">
        <v>373</v>
      </c>
      <c r="B111" s="469">
        <v>0.1</v>
      </c>
      <c r="C111" s="470">
        <v>0</v>
      </c>
      <c r="D111" s="468">
        <v>3</v>
      </c>
      <c r="E111" s="471">
        <f t="shared" si="10"/>
        <v>0</v>
      </c>
      <c r="F111" s="510">
        <v>0</v>
      </c>
      <c r="G111" s="498">
        <f t="shared" si="11"/>
        <v>0</v>
      </c>
      <c r="H111" s="472">
        <v>2</v>
      </c>
      <c r="I111" s="465">
        <f t="shared" si="12"/>
        <v>0</v>
      </c>
      <c r="J111" s="468">
        <v>2</v>
      </c>
      <c r="K111" s="467">
        <f t="shared" si="13"/>
        <v>0</v>
      </c>
    </row>
    <row r="112" spans="1:11" ht="13.5" thickBot="1" x14ac:dyDescent="0.25">
      <c r="A112" s="702" t="s">
        <v>229</v>
      </c>
      <c r="B112" s="703"/>
      <c r="C112" s="703"/>
      <c r="D112" s="451"/>
      <c r="E112" s="253">
        <f>SUM(E107:E111)</f>
        <v>0</v>
      </c>
      <c r="F112" s="494"/>
      <c r="G112" s="253">
        <f>SUM(G107:G111)</f>
        <v>0</v>
      </c>
      <c r="H112" s="451"/>
      <c r="I112" s="253">
        <f>SUM(I107:I111)</f>
        <v>0</v>
      </c>
      <c r="J112" s="473"/>
      <c r="K112" s="474">
        <f>SUM(K107:K111)</f>
        <v>0</v>
      </c>
    </row>
    <row r="113" spans="1:11" ht="13.5" thickBot="1" x14ac:dyDescent="0.25">
      <c r="A113" s="456"/>
      <c r="B113" s="457"/>
      <c r="C113" s="457"/>
      <c r="D113" s="457"/>
      <c r="E113" s="457"/>
      <c r="F113" s="457"/>
      <c r="G113" s="457"/>
      <c r="H113" s="457"/>
      <c r="I113" s="457"/>
      <c r="J113" s="457"/>
      <c r="K113" s="421"/>
    </row>
    <row r="114" spans="1:11" x14ac:dyDescent="0.2">
      <c r="A114" s="697" t="s">
        <v>459</v>
      </c>
      <c r="B114" s="699" t="s">
        <v>228</v>
      </c>
      <c r="C114" s="701" t="s">
        <v>423</v>
      </c>
      <c r="D114" s="663" t="str">
        <f>D105</f>
        <v>CEGUA</v>
      </c>
      <c r="E114" s="666"/>
      <c r="F114" s="726" t="str">
        <f>F105</f>
        <v>CEPIR</v>
      </c>
      <c r="G114" s="727"/>
      <c r="H114" s="694" t="str">
        <f>H105</f>
        <v>CESJC</v>
      </c>
      <c r="I114" s="695"/>
      <c r="J114" s="662" t="str">
        <f>J105</f>
        <v>CESOR</v>
      </c>
      <c r="K114" s="696"/>
    </row>
    <row r="115" spans="1:11" ht="12.75" customHeight="1" thickBot="1" x14ac:dyDescent="0.25">
      <c r="A115" s="698"/>
      <c r="B115" s="700"/>
      <c r="C115" s="661"/>
      <c r="D115" s="260" t="str">
        <f>D106</f>
        <v>Quantidade</v>
      </c>
      <c r="E115" s="450" t="str">
        <f>E106</f>
        <v>Valor</v>
      </c>
      <c r="F115" s="260" t="str">
        <f>F106</f>
        <v>Quantidade</v>
      </c>
      <c r="G115" s="452" t="str">
        <f>G106</f>
        <v>Valor</v>
      </c>
      <c r="H115" s="257" t="str">
        <f>H106</f>
        <v>Quantidade</v>
      </c>
      <c r="I115" s="258" t="str">
        <f>I106</f>
        <v>Valor</v>
      </c>
      <c r="J115" s="259" t="str">
        <f>J106</f>
        <v>Quantidade</v>
      </c>
      <c r="K115" s="158" t="str">
        <f>K106</f>
        <v>Valor</v>
      </c>
    </row>
    <row r="116" spans="1:11" x14ac:dyDescent="0.2">
      <c r="A116" s="479" t="s">
        <v>287</v>
      </c>
      <c r="B116" s="454">
        <v>0.1</v>
      </c>
      <c r="C116" s="464">
        <v>0</v>
      </c>
      <c r="D116" s="461">
        <v>0</v>
      </c>
      <c r="E116" s="480">
        <f>ROUND(((C116*B116)*D116)/12,2)</f>
        <v>0</v>
      </c>
      <c r="F116" s="518">
        <v>0</v>
      </c>
      <c r="G116" s="480">
        <f>ROUND(((B116*C116)*F116)/12,2)</f>
        <v>0</v>
      </c>
      <c r="H116" s="459">
        <v>0</v>
      </c>
      <c r="I116" s="482">
        <f>ROUND(((B116*C116)*H116)/12,2)</f>
        <v>0</v>
      </c>
      <c r="J116" s="461">
        <v>0</v>
      </c>
      <c r="K116" s="480">
        <f>ROUND(((B116*C116)*J116)/12,2)</f>
        <v>0</v>
      </c>
    </row>
    <row r="117" spans="1:11" x14ac:dyDescent="0.2">
      <c r="A117" s="475" t="s">
        <v>288</v>
      </c>
      <c r="B117" s="455">
        <v>0.1</v>
      </c>
      <c r="C117" s="465">
        <v>0</v>
      </c>
      <c r="D117" s="458">
        <v>1</v>
      </c>
      <c r="E117" s="481">
        <f>ROUND(((C117*B117)*D117)/12,2)</f>
        <v>0</v>
      </c>
      <c r="F117" s="519">
        <v>1</v>
      </c>
      <c r="G117" s="511">
        <f>ROUND(((B117*C117)*F117)/12,2)</f>
        <v>0</v>
      </c>
      <c r="H117" s="460">
        <v>2</v>
      </c>
      <c r="I117" s="483">
        <f>ROUND(((B117*C117)*H117)/12,2)</f>
        <v>0</v>
      </c>
      <c r="J117" s="458">
        <v>2</v>
      </c>
      <c r="K117" s="481">
        <f>ROUND(((B117*C117)*J117)/12,2)</f>
        <v>0</v>
      </c>
    </row>
    <row r="118" spans="1:11" x14ac:dyDescent="0.2">
      <c r="A118" s="475" t="s">
        <v>376</v>
      </c>
      <c r="B118" s="455">
        <v>0.1</v>
      </c>
      <c r="C118" s="465">
        <v>0</v>
      </c>
      <c r="D118" s="458">
        <v>0</v>
      </c>
      <c r="E118" s="481">
        <f t="shared" ref="E118:E120" si="14">ROUND(((C118*B118)*D118)/12,2)</f>
        <v>0</v>
      </c>
      <c r="F118" s="519">
        <v>0</v>
      </c>
      <c r="G118" s="511">
        <f t="shared" ref="G118:G120" si="15">ROUND(((B118*C118)*F118)/12,2)</f>
        <v>0</v>
      </c>
      <c r="H118" s="460">
        <v>1</v>
      </c>
      <c r="I118" s="483">
        <f t="shared" ref="I118:I120" si="16">ROUND(((B118*C118)*H118)/12,2)</f>
        <v>0</v>
      </c>
      <c r="J118" s="458">
        <v>0</v>
      </c>
      <c r="K118" s="481">
        <f t="shared" ref="K118:K120" si="17">ROUND(((B118*C118)*J118)/12,2)</f>
        <v>0</v>
      </c>
    </row>
    <row r="119" spans="1:11" x14ac:dyDescent="0.2">
      <c r="A119" s="475" t="s">
        <v>377</v>
      </c>
      <c r="B119" s="455">
        <v>0.1</v>
      </c>
      <c r="C119" s="465">
        <v>0</v>
      </c>
      <c r="D119" s="458">
        <v>0</v>
      </c>
      <c r="E119" s="481">
        <f t="shared" si="14"/>
        <v>0</v>
      </c>
      <c r="F119" s="519">
        <v>0</v>
      </c>
      <c r="G119" s="511">
        <f t="shared" si="15"/>
        <v>0</v>
      </c>
      <c r="H119" s="460">
        <v>0</v>
      </c>
      <c r="I119" s="483">
        <f t="shared" si="16"/>
        <v>0</v>
      </c>
      <c r="J119" s="458">
        <v>0</v>
      </c>
      <c r="K119" s="481">
        <f t="shared" si="17"/>
        <v>0</v>
      </c>
    </row>
    <row r="120" spans="1:11" x14ac:dyDescent="0.2">
      <c r="A120" s="475" t="s">
        <v>289</v>
      </c>
      <c r="B120" s="478">
        <v>0.1</v>
      </c>
      <c r="C120" s="465">
        <v>0</v>
      </c>
      <c r="D120" s="458">
        <v>1</v>
      </c>
      <c r="E120" s="481">
        <f t="shared" si="14"/>
        <v>0</v>
      </c>
      <c r="F120" s="519">
        <v>1</v>
      </c>
      <c r="G120" s="511">
        <f t="shared" si="15"/>
        <v>0</v>
      </c>
      <c r="H120" s="460">
        <v>1</v>
      </c>
      <c r="I120" s="483">
        <f t="shared" si="16"/>
        <v>0</v>
      </c>
      <c r="J120" s="458">
        <v>1</v>
      </c>
      <c r="K120" s="481">
        <f t="shared" si="17"/>
        <v>0</v>
      </c>
    </row>
    <row r="121" spans="1:11" ht="13.5" thickBot="1" x14ac:dyDescent="0.25">
      <c r="A121" s="702" t="s">
        <v>229</v>
      </c>
      <c r="B121" s="703"/>
      <c r="C121" s="703"/>
      <c r="D121" s="451"/>
      <c r="E121" s="253">
        <f>SUM(E116:E120)</f>
        <v>0</v>
      </c>
      <c r="F121" s="494"/>
      <c r="G121" s="494">
        <f>SUM(G116:G120)</f>
        <v>0</v>
      </c>
      <c r="H121" s="451"/>
      <c r="I121" s="253">
        <f>SUM(I116:I120)</f>
        <v>0</v>
      </c>
      <c r="J121" s="473"/>
      <c r="K121" s="474">
        <f>SUM(K116:K120)</f>
        <v>0</v>
      </c>
    </row>
    <row r="122" spans="1:11" ht="13.5" thickBot="1" x14ac:dyDescent="0.25">
      <c r="A122" s="456"/>
      <c r="B122" s="457"/>
      <c r="C122" s="457"/>
      <c r="D122" s="457"/>
      <c r="E122" s="457"/>
      <c r="F122" s="457"/>
      <c r="G122" s="457"/>
      <c r="H122" s="457"/>
      <c r="I122" s="457"/>
      <c r="J122" s="457"/>
      <c r="K122" s="421"/>
    </row>
    <row r="123" spans="1:11" s="133" customFormat="1" ht="12.75" customHeight="1" x14ac:dyDescent="0.2">
      <c r="A123" s="697" t="s">
        <v>227</v>
      </c>
      <c r="B123" s="699" t="str">
        <f>C96</f>
        <v xml:space="preserve">Valor Unitário </v>
      </c>
      <c r="C123" s="701" t="s">
        <v>228</v>
      </c>
      <c r="D123" s="663" t="str">
        <f>D96</f>
        <v>CEGUA</v>
      </c>
      <c r="E123" s="666"/>
      <c r="F123" s="726" t="str">
        <f>F114</f>
        <v>CEPIR</v>
      </c>
      <c r="G123" s="727"/>
      <c r="H123" s="694" t="str">
        <f>H96</f>
        <v>CESJC</v>
      </c>
      <c r="I123" s="695"/>
      <c r="J123" s="662" t="str">
        <f>J96</f>
        <v>CESOR</v>
      </c>
      <c r="K123" s="696"/>
    </row>
    <row r="124" spans="1:11" s="133" customFormat="1" x14ac:dyDescent="0.2">
      <c r="A124" s="698"/>
      <c r="B124" s="700"/>
      <c r="C124" s="661"/>
      <c r="D124" s="260" t="str">
        <f>D97</f>
        <v>Quantidade</v>
      </c>
      <c r="E124" s="384" t="str">
        <f>E97</f>
        <v>Valor</v>
      </c>
      <c r="F124" s="260" t="str">
        <f>F97</f>
        <v>Quantidade</v>
      </c>
      <c r="G124" s="452" t="str">
        <f>G97</f>
        <v>Valor</v>
      </c>
      <c r="H124" s="257" t="str">
        <f>H97</f>
        <v>Quantidade</v>
      </c>
      <c r="I124" s="258" t="str">
        <f>I97</f>
        <v>Valor</v>
      </c>
      <c r="J124" s="259" t="str">
        <f>J97</f>
        <v>Quantidade</v>
      </c>
      <c r="K124" s="158" t="str">
        <f>K97</f>
        <v>Valor</v>
      </c>
    </row>
    <row r="125" spans="1:11" s="134" customFormat="1" ht="63.75" x14ac:dyDescent="0.2">
      <c r="A125" s="220" t="s">
        <v>455</v>
      </c>
      <c r="B125" s="261">
        <v>0</v>
      </c>
      <c r="C125" s="262">
        <v>0.1</v>
      </c>
      <c r="D125" s="255">
        <v>0</v>
      </c>
      <c r="E125" s="252">
        <f>ROUND(((B125*C125)*D125)/12,2)</f>
        <v>0</v>
      </c>
      <c r="F125" s="520">
        <v>0</v>
      </c>
      <c r="G125" s="500">
        <f>ROUND(((B125*C125)*F125)/12,2)</f>
        <v>0</v>
      </c>
      <c r="H125" s="255">
        <v>0</v>
      </c>
      <c r="I125" s="252">
        <f t="shared" ref="I125:I133" si="18">ROUND(((B125*C125)*H125)/12,2)</f>
        <v>0</v>
      </c>
      <c r="J125" s="246">
        <v>1</v>
      </c>
      <c r="K125" s="243">
        <f t="shared" ref="K125:K133" si="19">ROUND(((B125*C125)*J125)/12,2)</f>
        <v>0</v>
      </c>
    </row>
    <row r="126" spans="1:11" s="134" customFormat="1" ht="102" x14ac:dyDescent="0.2">
      <c r="A126" s="220" t="s">
        <v>456</v>
      </c>
      <c r="B126" s="261">
        <v>0</v>
      </c>
      <c r="C126" s="262">
        <v>0.1</v>
      </c>
      <c r="D126" s="255">
        <v>0</v>
      </c>
      <c r="E126" s="252">
        <f t="shared" ref="E126:E133" si="20">ROUND(((C126*B126)*D126)/12,2)</f>
        <v>0</v>
      </c>
      <c r="F126" s="520">
        <v>0</v>
      </c>
      <c r="G126" s="500">
        <f>ROUND(((B126*C126)*F126)/12,2)</f>
        <v>0</v>
      </c>
      <c r="H126" s="255">
        <v>0</v>
      </c>
      <c r="I126" s="252">
        <f t="shared" si="18"/>
        <v>0</v>
      </c>
      <c r="J126" s="246">
        <v>0</v>
      </c>
      <c r="K126" s="243">
        <f t="shared" si="19"/>
        <v>0</v>
      </c>
    </row>
    <row r="127" spans="1:11" s="134" customFormat="1" ht="63.75" x14ac:dyDescent="0.2">
      <c r="A127" s="220" t="s">
        <v>457</v>
      </c>
      <c r="B127" s="261">
        <v>0</v>
      </c>
      <c r="C127" s="262">
        <v>0.1</v>
      </c>
      <c r="D127" s="255">
        <v>0</v>
      </c>
      <c r="E127" s="252">
        <f t="shared" si="20"/>
        <v>0</v>
      </c>
      <c r="F127" s="520">
        <v>0</v>
      </c>
      <c r="G127" s="500">
        <f t="shared" ref="G127:G133" si="21">ROUND(((B127*C127)*F127)/12,2)</f>
        <v>0</v>
      </c>
      <c r="H127" s="255">
        <v>0</v>
      </c>
      <c r="I127" s="252">
        <f t="shared" si="18"/>
        <v>0</v>
      </c>
      <c r="J127" s="246">
        <v>0</v>
      </c>
      <c r="K127" s="243">
        <f t="shared" si="19"/>
        <v>0</v>
      </c>
    </row>
    <row r="128" spans="1:11" s="134" customFormat="1" ht="25.5" x14ac:dyDescent="0.2">
      <c r="A128" s="220" t="s">
        <v>369</v>
      </c>
      <c r="B128" s="261">
        <v>0</v>
      </c>
      <c r="C128" s="262">
        <v>0.1</v>
      </c>
      <c r="D128" s="255">
        <v>0</v>
      </c>
      <c r="E128" s="252">
        <f t="shared" si="20"/>
        <v>0</v>
      </c>
      <c r="F128" s="520">
        <v>0</v>
      </c>
      <c r="G128" s="500">
        <f t="shared" si="21"/>
        <v>0</v>
      </c>
      <c r="H128" s="255">
        <v>0</v>
      </c>
      <c r="I128" s="252">
        <f t="shared" si="18"/>
        <v>0</v>
      </c>
      <c r="J128" s="246">
        <v>0</v>
      </c>
      <c r="K128" s="243">
        <f t="shared" si="19"/>
        <v>0</v>
      </c>
    </row>
    <row r="129" spans="1:11" s="134" customFormat="1" x14ac:dyDescent="0.2">
      <c r="A129" s="220" t="s">
        <v>370</v>
      </c>
      <c r="B129" s="261">
        <v>0</v>
      </c>
      <c r="C129" s="262">
        <v>0.1</v>
      </c>
      <c r="D129" s="255">
        <v>0</v>
      </c>
      <c r="E129" s="252">
        <f t="shared" si="20"/>
        <v>0</v>
      </c>
      <c r="F129" s="520">
        <v>0</v>
      </c>
      <c r="G129" s="500">
        <f t="shared" si="21"/>
        <v>0</v>
      </c>
      <c r="H129" s="255">
        <v>1</v>
      </c>
      <c r="I129" s="252">
        <f t="shared" si="18"/>
        <v>0</v>
      </c>
      <c r="J129" s="246">
        <v>0</v>
      </c>
      <c r="K129" s="243">
        <f t="shared" si="19"/>
        <v>0</v>
      </c>
    </row>
    <row r="130" spans="1:11" s="134" customFormat="1" ht="25.5" x14ac:dyDescent="0.2">
      <c r="A130" s="220" t="s">
        <v>371</v>
      </c>
      <c r="B130" s="261">
        <v>0</v>
      </c>
      <c r="C130" s="262">
        <v>0.1</v>
      </c>
      <c r="D130" s="255">
        <v>3</v>
      </c>
      <c r="E130" s="252">
        <f t="shared" si="20"/>
        <v>0</v>
      </c>
      <c r="F130" s="520">
        <v>1</v>
      </c>
      <c r="G130" s="500">
        <f t="shared" si="21"/>
        <v>0</v>
      </c>
      <c r="H130" s="255">
        <v>0</v>
      </c>
      <c r="I130" s="252">
        <f t="shared" si="18"/>
        <v>0</v>
      </c>
      <c r="J130" s="246">
        <v>0</v>
      </c>
      <c r="K130" s="243">
        <f t="shared" si="19"/>
        <v>0</v>
      </c>
    </row>
    <row r="131" spans="1:11" s="134" customFormat="1" x14ac:dyDescent="0.2">
      <c r="A131" s="220" t="s">
        <v>374</v>
      </c>
      <c r="B131" s="261">
        <v>0</v>
      </c>
      <c r="C131" s="262">
        <v>0.1</v>
      </c>
      <c r="D131" s="255">
        <v>1</v>
      </c>
      <c r="E131" s="252">
        <f t="shared" si="20"/>
        <v>0</v>
      </c>
      <c r="F131" s="520">
        <v>2</v>
      </c>
      <c r="G131" s="500">
        <f t="shared" si="21"/>
        <v>0</v>
      </c>
      <c r="H131" s="255">
        <v>12</v>
      </c>
      <c r="I131" s="252">
        <f t="shared" si="18"/>
        <v>0</v>
      </c>
      <c r="J131" s="246">
        <v>6</v>
      </c>
      <c r="K131" s="243">
        <f t="shared" si="19"/>
        <v>0</v>
      </c>
    </row>
    <row r="132" spans="1:11" s="134" customFormat="1" x14ac:dyDescent="0.2">
      <c r="A132" s="220" t="s">
        <v>375</v>
      </c>
      <c r="B132" s="261">
        <v>0</v>
      </c>
      <c r="C132" s="262">
        <v>0.1</v>
      </c>
      <c r="D132" s="255">
        <v>0</v>
      </c>
      <c r="E132" s="252">
        <f t="shared" si="20"/>
        <v>0</v>
      </c>
      <c r="F132" s="520">
        <v>0</v>
      </c>
      <c r="G132" s="500">
        <f t="shared" si="21"/>
        <v>0</v>
      </c>
      <c r="H132" s="255">
        <v>0</v>
      </c>
      <c r="I132" s="252">
        <f t="shared" si="18"/>
        <v>0</v>
      </c>
      <c r="J132" s="246">
        <v>0</v>
      </c>
      <c r="K132" s="243">
        <f t="shared" si="19"/>
        <v>0</v>
      </c>
    </row>
    <row r="133" spans="1:11" s="134" customFormat="1" x14ac:dyDescent="0.2">
      <c r="A133" s="220" t="s">
        <v>378</v>
      </c>
      <c r="B133" s="261">
        <v>0</v>
      </c>
      <c r="C133" s="262">
        <v>0.1</v>
      </c>
      <c r="D133" s="255">
        <v>0</v>
      </c>
      <c r="E133" s="252">
        <f t="shared" si="20"/>
        <v>0</v>
      </c>
      <c r="F133" s="520">
        <v>0</v>
      </c>
      <c r="G133" s="500">
        <f t="shared" si="21"/>
        <v>0</v>
      </c>
      <c r="H133" s="255">
        <v>2</v>
      </c>
      <c r="I133" s="252">
        <f t="shared" si="18"/>
        <v>0</v>
      </c>
      <c r="J133" s="246">
        <v>1</v>
      </c>
      <c r="K133" s="243">
        <f t="shared" si="19"/>
        <v>0</v>
      </c>
    </row>
    <row r="134" spans="1:11" s="49" customFormat="1" ht="13.5" thickBot="1" x14ac:dyDescent="0.25">
      <c r="A134" s="736" t="s">
        <v>229</v>
      </c>
      <c r="B134" s="737"/>
      <c r="C134" s="737"/>
      <c r="D134" s="422"/>
      <c r="E134" s="423">
        <f>SUM(E125:E133)</f>
        <v>0</v>
      </c>
      <c r="F134" s="493"/>
      <c r="G134" s="423">
        <f>SUM(G125:G133)</f>
        <v>0</v>
      </c>
      <c r="H134" s="422"/>
      <c r="I134" s="423">
        <f>SUM(I125:I133)</f>
        <v>0</v>
      </c>
      <c r="J134" s="424"/>
      <c r="K134" s="425">
        <f>SUM(K125:K133)</f>
        <v>0</v>
      </c>
    </row>
    <row r="135" spans="1:11" s="49" customFormat="1" ht="13.5" thickBot="1" x14ac:dyDescent="0.25">
      <c r="A135" s="738"/>
      <c r="B135" s="739"/>
      <c r="C135" s="739"/>
      <c r="D135" s="739"/>
      <c r="E135" s="739"/>
      <c r="F135" s="740"/>
      <c r="G135" s="740"/>
      <c r="H135" s="739"/>
      <c r="I135" s="739"/>
      <c r="J135" s="739"/>
      <c r="K135" s="741"/>
    </row>
    <row r="136" spans="1:11" ht="27" customHeight="1" thickBot="1" x14ac:dyDescent="0.25">
      <c r="A136" s="757" t="s">
        <v>433</v>
      </c>
      <c r="B136" s="758"/>
      <c r="C136" s="758"/>
      <c r="D136" s="759">
        <f>SUM(E69,E94,E103,E112,E121,E134)</f>
        <v>0</v>
      </c>
      <c r="E136" s="760"/>
      <c r="F136" s="759">
        <f>SUM(G69,G94,G103,G112,G121,G134)</f>
        <v>0</v>
      </c>
      <c r="G136" s="760"/>
      <c r="H136" s="759">
        <f>SUM(I69,I94,I103,I112,I121,I134)</f>
        <v>0</v>
      </c>
      <c r="I136" s="760"/>
      <c r="J136" s="761">
        <f>SUM(K69,K94,K103,K112,K121,K134)</f>
        <v>0</v>
      </c>
      <c r="K136" s="760"/>
    </row>
    <row r="137" spans="1:11" ht="13.5" thickBot="1" x14ac:dyDescent="0.25">
      <c r="A137" s="419"/>
      <c r="B137" s="420"/>
      <c r="C137" s="420"/>
      <c r="D137" s="420"/>
      <c r="E137" s="420"/>
      <c r="F137" s="457"/>
      <c r="G137" s="457"/>
      <c r="H137" s="420"/>
      <c r="I137" s="420"/>
      <c r="J137" s="420"/>
      <c r="K137" s="421"/>
    </row>
    <row r="138" spans="1:11" s="133" customFormat="1" ht="12.75" customHeight="1" x14ac:dyDescent="0.2">
      <c r="A138" s="697" t="s">
        <v>231</v>
      </c>
      <c r="B138" s="762" t="s">
        <v>232</v>
      </c>
      <c r="C138" s="688"/>
      <c r="D138" s="765" t="str">
        <f>D123</f>
        <v>CEGUA</v>
      </c>
      <c r="E138" s="689"/>
      <c r="F138" s="688" t="str">
        <f>F123</f>
        <v>CEPIR</v>
      </c>
      <c r="G138" s="689"/>
      <c r="H138" s="688" t="str">
        <f>H123</f>
        <v>CESJC</v>
      </c>
      <c r="I138" s="689"/>
      <c r="J138" s="662" t="str">
        <f>J123</f>
        <v>CESOR</v>
      </c>
      <c r="K138" s="695"/>
    </row>
    <row r="139" spans="1:11" s="133" customFormat="1" ht="13.5" thickBot="1" x14ac:dyDescent="0.25">
      <c r="A139" s="730"/>
      <c r="B139" s="763"/>
      <c r="C139" s="764"/>
      <c r="D139" s="665" t="s">
        <v>133</v>
      </c>
      <c r="E139" s="766"/>
      <c r="F139" s="767" t="s">
        <v>133</v>
      </c>
      <c r="G139" s="766"/>
      <c r="H139" s="767" t="s">
        <v>133</v>
      </c>
      <c r="I139" s="766"/>
      <c r="J139" s="768" t="s">
        <v>133</v>
      </c>
      <c r="K139" s="766"/>
    </row>
    <row r="140" spans="1:11" s="49" customFormat="1" x14ac:dyDescent="0.2">
      <c r="A140" s="221" t="s">
        <v>233</v>
      </c>
      <c r="B140" s="748">
        <v>60</v>
      </c>
      <c r="C140" s="749"/>
      <c r="D140" s="750">
        <v>1</v>
      </c>
      <c r="E140" s="691"/>
      <c r="F140" s="690">
        <v>1</v>
      </c>
      <c r="G140" s="691"/>
      <c r="H140" s="690">
        <v>1</v>
      </c>
      <c r="I140" s="691"/>
      <c r="J140" s="751">
        <v>1</v>
      </c>
      <c r="K140" s="752"/>
    </row>
    <row r="141" spans="1:11" s="49" customFormat="1" x14ac:dyDescent="0.2">
      <c r="A141" s="222" t="s">
        <v>307</v>
      </c>
      <c r="B141" s="748"/>
      <c r="C141" s="749"/>
      <c r="D141" s="742">
        <v>1</v>
      </c>
      <c r="E141" s="693"/>
      <c r="F141" s="692">
        <v>1</v>
      </c>
      <c r="G141" s="693"/>
      <c r="H141" s="692">
        <v>1</v>
      </c>
      <c r="I141" s="693"/>
      <c r="J141" s="743">
        <v>1</v>
      </c>
      <c r="K141" s="744"/>
    </row>
    <row r="142" spans="1:11" s="49" customFormat="1" x14ac:dyDescent="0.2">
      <c r="A142" s="222" t="s">
        <v>308</v>
      </c>
      <c r="B142" s="748"/>
      <c r="C142" s="749"/>
      <c r="D142" s="742">
        <v>1</v>
      </c>
      <c r="E142" s="693"/>
      <c r="F142" s="692">
        <v>1</v>
      </c>
      <c r="G142" s="693"/>
      <c r="H142" s="692">
        <v>1</v>
      </c>
      <c r="I142" s="693"/>
      <c r="J142" s="743">
        <v>1</v>
      </c>
      <c r="K142" s="744"/>
    </row>
    <row r="143" spans="1:11" s="49" customFormat="1" x14ac:dyDescent="0.2">
      <c r="A143" s="222" t="s">
        <v>309</v>
      </c>
      <c r="B143" s="748"/>
      <c r="C143" s="749"/>
      <c r="D143" s="742">
        <v>1</v>
      </c>
      <c r="E143" s="693"/>
      <c r="F143" s="692">
        <v>1</v>
      </c>
      <c r="G143" s="693"/>
      <c r="H143" s="692">
        <v>1</v>
      </c>
      <c r="I143" s="693"/>
      <c r="J143" s="743">
        <v>1</v>
      </c>
      <c r="K143" s="744"/>
    </row>
    <row r="144" spans="1:11" s="49" customFormat="1" ht="13.5" thickBot="1" x14ac:dyDescent="0.25">
      <c r="A144" s="268" t="s">
        <v>310</v>
      </c>
      <c r="B144" s="748"/>
      <c r="C144" s="749"/>
      <c r="D144" s="745">
        <v>1</v>
      </c>
      <c r="E144" s="687"/>
      <c r="F144" s="686">
        <v>1</v>
      </c>
      <c r="G144" s="687"/>
      <c r="H144" s="686">
        <v>1</v>
      </c>
      <c r="I144" s="687"/>
      <c r="J144" s="746">
        <v>1</v>
      </c>
      <c r="K144" s="747"/>
    </row>
    <row r="145" spans="1:11" ht="13.5" thickBot="1" x14ac:dyDescent="0.25">
      <c r="A145" s="753" t="s">
        <v>234</v>
      </c>
      <c r="B145" s="754"/>
      <c r="C145" s="754"/>
      <c r="D145" s="754"/>
      <c r="E145" s="754"/>
      <c r="F145" s="755"/>
      <c r="G145" s="755"/>
      <c r="H145" s="754"/>
      <c r="I145" s="754"/>
      <c r="J145" s="754"/>
      <c r="K145" s="756"/>
    </row>
  </sheetData>
  <mergeCells count="92">
    <mergeCell ref="A145:K145"/>
    <mergeCell ref="A136:C136"/>
    <mergeCell ref="D136:E136"/>
    <mergeCell ref="H136:I136"/>
    <mergeCell ref="J136:K136"/>
    <mergeCell ref="J142:K142"/>
    <mergeCell ref="A138:A139"/>
    <mergeCell ref="B138:C139"/>
    <mergeCell ref="D138:E138"/>
    <mergeCell ref="H138:I138"/>
    <mergeCell ref="J138:K138"/>
    <mergeCell ref="D139:E139"/>
    <mergeCell ref="H139:I139"/>
    <mergeCell ref="J139:K139"/>
    <mergeCell ref="F136:G136"/>
    <mergeCell ref="F139:G139"/>
    <mergeCell ref="A135:K135"/>
    <mergeCell ref="D143:E143"/>
    <mergeCell ref="H143:I143"/>
    <mergeCell ref="J143:K143"/>
    <mergeCell ref="D144:E144"/>
    <mergeCell ref="H144:I144"/>
    <mergeCell ref="J144:K144"/>
    <mergeCell ref="B140:C144"/>
    <mergeCell ref="D140:E140"/>
    <mergeCell ref="H140:I140"/>
    <mergeCell ref="J140:K140"/>
    <mergeCell ref="D141:E141"/>
    <mergeCell ref="H141:I141"/>
    <mergeCell ref="J141:K141"/>
    <mergeCell ref="D142:E142"/>
    <mergeCell ref="H142:I142"/>
    <mergeCell ref="A134:C134"/>
    <mergeCell ref="A123:A124"/>
    <mergeCell ref="B123:B124"/>
    <mergeCell ref="C123:C124"/>
    <mergeCell ref="D123:E123"/>
    <mergeCell ref="H123:I123"/>
    <mergeCell ref="J123:K123"/>
    <mergeCell ref="A103:C103"/>
    <mergeCell ref="A104:K104"/>
    <mergeCell ref="A96:A97"/>
    <mergeCell ref="B96:B97"/>
    <mergeCell ref="C96:C97"/>
    <mergeCell ref="D96:E96"/>
    <mergeCell ref="H96:I96"/>
    <mergeCell ref="J96:K96"/>
    <mergeCell ref="F96:G96"/>
    <mergeCell ref="F105:G105"/>
    <mergeCell ref="F114:G114"/>
    <mergeCell ref="F123:G123"/>
    <mergeCell ref="A121:C121"/>
    <mergeCell ref="J105:K105"/>
    <mergeCell ref="A94:C94"/>
    <mergeCell ref="A95:K95"/>
    <mergeCell ref="A71:A72"/>
    <mergeCell ref="B71:B72"/>
    <mergeCell ref="C71:C72"/>
    <mergeCell ref="D71:E71"/>
    <mergeCell ref="H71:I71"/>
    <mergeCell ref="J71:K71"/>
    <mergeCell ref="F71:G71"/>
    <mergeCell ref="A69:C69"/>
    <mergeCell ref="A70:K70"/>
    <mergeCell ref="A1:K1"/>
    <mergeCell ref="A2:K2"/>
    <mergeCell ref="A3:K3"/>
    <mergeCell ref="A4:A5"/>
    <mergeCell ref="B4:B5"/>
    <mergeCell ref="C4:C5"/>
    <mergeCell ref="D4:E4"/>
    <mergeCell ref="H4:I4"/>
    <mergeCell ref="J4:K4"/>
    <mergeCell ref="F4:G4"/>
    <mergeCell ref="H114:I114"/>
    <mergeCell ref="J114:K114"/>
    <mergeCell ref="A105:A106"/>
    <mergeCell ref="B105:B106"/>
    <mergeCell ref="C105:C106"/>
    <mergeCell ref="D105:E105"/>
    <mergeCell ref="H105:I105"/>
    <mergeCell ref="A112:C112"/>
    <mergeCell ref="A114:A115"/>
    <mergeCell ref="B114:B115"/>
    <mergeCell ref="C114:C115"/>
    <mergeCell ref="D114:E114"/>
    <mergeCell ref="F144:G144"/>
    <mergeCell ref="F138:G138"/>
    <mergeCell ref="F140:G140"/>
    <mergeCell ref="F141:G141"/>
    <mergeCell ref="F142:G142"/>
    <mergeCell ref="F143:G143"/>
  </mergeCells>
  <printOptions horizontalCentered="1"/>
  <pageMargins left="0.78740157480314965" right="0.78740157480314965" top="0.78740157480314965" bottom="0.78740157480314965" header="0.31496062992125984" footer="0.31496062992125984"/>
  <pageSetup paperSize="9" scale="54" orientation="portrait" r:id="rId1"/>
  <headerFooter>
    <oddHeader>&amp;RPlanilhas MODELO LICITANTE</oddHeader>
  </headerFooter>
  <rowBreaks count="1" manualBreakCount="1">
    <brk id="94" max="8" man="1"/>
  </rowBreaks>
  <ignoredErrors>
    <ignoredError sqref="F123"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K109"/>
  <sheetViews>
    <sheetView view="pageBreakPreview" zoomScale="120" zoomScaleNormal="110" zoomScaleSheetLayoutView="120" workbookViewId="0">
      <selection activeCell="E35" sqref="E35"/>
    </sheetView>
  </sheetViews>
  <sheetFormatPr defaultRowHeight="12.75" x14ac:dyDescent="0.2"/>
  <cols>
    <col min="1" max="1" width="62.28515625" style="48" customWidth="1"/>
    <col min="2" max="2" width="12.7109375" style="48" customWidth="1"/>
    <col min="3" max="3" width="10.7109375" style="48" customWidth="1"/>
    <col min="4" max="4" width="8.42578125" style="48" bestFit="1" customWidth="1"/>
    <col min="5" max="5" width="10.7109375" style="48" customWidth="1"/>
    <col min="6" max="6" width="8.42578125" style="48" customWidth="1"/>
    <col min="7" max="7" width="10.7109375" style="48" customWidth="1"/>
    <col min="8" max="8" width="8.42578125" style="48" bestFit="1" customWidth="1"/>
    <col min="9" max="9" width="10.7109375" style="48" customWidth="1"/>
    <col min="10" max="10" width="8.42578125" style="48" bestFit="1" customWidth="1"/>
    <col min="11" max="11" width="11.5703125" style="48" customWidth="1"/>
    <col min="12" max="256" width="9.140625" style="48"/>
    <col min="257" max="257" width="13.5703125" style="48" customWidth="1"/>
    <col min="258" max="258" width="12.85546875" style="48" customWidth="1"/>
    <col min="259" max="259" width="15" style="48" customWidth="1"/>
    <col min="260" max="261" width="13.42578125" style="48" customWidth="1"/>
    <col min="262" max="512" width="9.140625" style="48"/>
    <col min="513" max="513" width="13.5703125" style="48" customWidth="1"/>
    <col min="514" max="514" width="12.85546875" style="48" customWidth="1"/>
    <col min="515" max="515" width="15" style="48" customWidth="1"/>
    <col min="516" max="517" width="13.42578125" style="48" customWidth="1"/>
    <col min="518" max="768" width="9.140625" style="48"/>
    <col min="769" max="769" width="13.5703125" style="48" customWidth="1"/>
    <col min="770" max="770" width="12.85546875" style="48" customWidth="1"/>
    <col min="771" max="771" width="15" style="48" customWidth="1"/>
    <col min="772" max="773" width="13.42578125" style="48" customWidth="1"/>
    <col min="774" max="1024" width="9.140625" style="48"/>
    <col min="1025" max="1025" width="13.5703125" style="48" customWidth="1"/>
    <col min="1026" max="1026" width="12.85546875" style="48" customWidth="1"/>
    <col min="1027" max="1027" width="15" style="48" customWidth="1"/>
    <col min="1028" max="1029" width="13.42578125" style="48" customWidth="1"/>
    <col min="1030" max="1280" width="9.140625" style="48"/>
    <col min="1281" max="1281" width="13.5703125" style="48" customWidth="1"/>
    <col min="1282" max="1282" width="12.85546875" style="48" customWidth="1"/>
    <col min="1283" max="1283" width="15" style="48" customWidth="1"/>
    <col min="1284" max="1285" width="13.42578125" style="48" customWidth="1"/>
    <col min="1286" max="1536" width="9.140625" style="48"/>
    <col min="1537" max="1537" width="13.5703125" style="48" customWidth="1"/>
    <col min="1538" max="1538" width="12.85546875" style="48" customWidth="1"/>
    <col min="1539" max="1539" width="15" style="48" customWidth="1"/>
    <col min="1540" max="1541" width="13.42578125" style="48" customWidth="1"/>
    <col min="1542" max="1792" width="9.140625" style="48"/>
    <col min="1793" max="1793" width="13.5703125" style="48" customWidth="1"/>
    <col min="1794" max="1794" width="12.85546875" style="48" customWidth="1"/>
    <col min="1795" max="1795" width="15" style="48" customWidth="1"/>
    <col min="1796" max="1797" width="13.42578125" style="48" customWidth="1"/>
    <col min="1798" max="2048" width="9.140625" style="48"/>
    <col min="2049" max="2049" width="13.5703125" style="48" customWidth="1"/>
    <col min="2050" max="2050" width="12.85546875" style="48" customWidth="1"/>
    <col min="2051" max="2051" width="15" style="48" customWidth="1"/>
    <col min="2052" max="2053" width="13.42578125" style="48" customWidth="1"/>
    <col min="2054" max="2304" width="9.140625" style="48"/>
    <col min="2305" max="2305" width="13.5703125" style="48" customWidth="1"/>
    <col min="2306" max="2306" width="12.85546875" style="48" customWidth="1"/>
    <col min="2307" max="2307" width="15" style="48" customWidth="1"/>
    <col min="2308" max="2309" width="13.42578125" style="48" customWidth="1"/>
    <col min="2310" max="2560" width="9.140625" style="48"/>
    <col min="2561" max="2561" width="13.5703125" style="48" customWidth="1"/>
    <col min="2562" max="2562" width="12.85546875" style="48" customWidth="1"/>
    <col min="2563" max="2563" width="15" style="48" customWidth="1"/>
    <col min="2564" max="2565" width="13.42578125" style="48" customWidth="1"/>
    <col min="2566" max="2816" width="9.140625" style="48"/>
    <col min="2817" max="2817" width="13.5703125" style="48" customWidth="1"/>
    <col min="2818" max="2818" width="12.85546875" style="48" customWidth="1"/>
    <col min="2819" max="2819" width="15" style="48" customWidth="1"/>
    <col min="2820" max="2821" width="13.42578125" style="48" customWidth="1"/>
    <col min="2822" max="3072" width="9.140625" style="48"/>
    <col min="3073" max="3073" width="13.5703125" style="48" customWidth="1"/>
    <col min="3074" max="3074" width="12.85546875" style="48" customWidth="1"/>
    <col min="3075" max="3075" width="15" style="48" customWidth="1"/>
    <col min="3076" max="3077" width="13.42578125" style="48" customWidth="1"/>
    <col min="3078" max="3328" width="9.140625" style="48"/>
    <col min="3329" max="3329" width="13.5703125" style="48" customWidth="1"/>
    <col min="3330" max="3330" width="12.85546875" style="48" customWidth="1"/>
    <col min="3331" max="3331" width="15" style="48" customWidth="1"/>
    <col min="3332" max="3333" width="13.42578125" style="48" customWidth="1"/>
    <col min="3334" max="3584" width="9.140625" style="48"/>
    <col min="3585" max="3585" width="13.5703125" style="48" customWidth="1"/>
    <col min="3586" max="3586" width="12.85546875" style="48" customWidth="1"/>
    <col min="3587" max="3587" width="15" style="48" customWidth="1"/>
    <col min="3588" max="3589" width="13.42578125" style="48" customWidth="1"/>
    <col min="3590" max="3840" width="9.140625" style="48"/>
    <col min="3841" max="3841" width="13.5703125" style="48" customWidth="1"/>
    <col min="3842" max="3842" width="12.85546875" style="48" customWidth="1"/>
    <col min="3843" max="3843" width="15" style="48" customWidth="1"/>
    <col min="3844" max="3845" width="13.42578125" style="48" customWidth="1"/>
    <col min="3846" max="4096" width="9.140625" style="48"/>
    <col min="4097" max="4097" width="13.5703125" style="48" customWidth="1"/>
    <col min="4098" max="4098" width="12.85546875" style="48" customWidth="1"/>
    <col min="4099" max="4099" width="15" style="48" customWidth="1"/>
    <col min="4100" max="4101" width="13.42578125" style="48" customWidth="1"/>
    <col min="4102" max="4352" width="9.140625" style="48"/>
    <col min="4353" max="4353" width="13.5703125" style="48" customWidth="1"/>
    <col min="4354" max="4354" width="12.85546875" style="48" customWidth="1"/>
    <col min="4355" max="4355" width="15" style="48" customWidth="1"/>
    <col min="4356" max="4357" width="13.42578125" style="48" customWidth="1"/>
    <col min="4358" max="4608" width="9.140625" style="48"/>
    <col min="4609" max="4609" width="13.5703125" style="48" customWidth="1"/>
    <col min="4610" max="4610" width="12.85546875" style="48" customWidth="1"/>
    <col min="4611" max="4611" width="15" style="48" customWidth="1"/>
    <col min="4612" max="4613" width="13.42578125" style="48" customWidth="1"/>
    <col min="4614" max="4864" width="9.140625" style="48"/>
    <col min="4865" max="4865" width="13.5703125" style="48" customWidth="1"/>
    <col min="4866" max="4866" width="12.85546875" style="48" customWidth="1"/>
    <col min="4867" max="4867" width="15" style="48" customWidth="1"/>
    <col min="4868" max="4869" width="13.42578125" style="48" customWidth="1"/>
    <col min="4870" max="5120" width="9.140625" style="48"/>
    <col min="5121" max="5121" width="13.5703125" style="48" customWidth="1"/>
    <col min="5122" max="5122" width="12.85546875" style="48" customWidth="1"/>
    <col min="5123" max="5123" width="15" style="48" customWidth="1"/>
    <col min="5124" max="5125" width="13.42578125" style="48" customWidth="1"/>
    <col min="5126" max="5376" width="9.140625" style="48"/>
    <col min="5377" max="5377" width="13.5703125" style="48" customWidth="1"/>
    <col min="5378" max="5378" width="12.85546875" style="48" customWidth="1"/>
    <col min="5379" max="5379" width="15" style="48" customWidth="1"/>
    <col min="5380" max="5381" width="13.42578125" style="48" customWidth="1"/>
    <col min="5382" max="5632" width="9.140625" style="48"/>
    <col min="5633" max="5633" width="13.5703125" style="48" customWidth="1"/>
    <col min="5634" max="5634" width="12.85546875" style="48" customWidth="1"/>
    <col min="5635" max="5635" width="15" style="48" customWidth="1"/>
    <col min="5636" max="5637" width="13.42578125" style="48" customWidth="1"/>
    <col min="5638" max="5888" width="9.140625" style="48"/>
    <col min="5889" max="5889" width="13.5703125" style="48" customWidth="1"/>
    <col min="5890" max="5890" width="12.85546875" style="48" customWidth="1"/>
    <col min="5891" max="5891" width="15" style="48" customWidth="1"/>
    <col min="5892" max="5893" width="13.42578125" style="48" customWidth="1"/>
    <col min="5894" max="6144" width="9.140625" style="48"/>
    <col min="6145" max="6145" width="13.5703125" style="48" customWidth="1"/>
    <col min="6146" max="6146" width="12.85546875" style="48" customWidth="1"/>
    <col min="6147" max="6147" width="15" style="48" customWidth="1"/>
    <col min="6148" max="6149" width="13.42578125" style="48" customWidth="1"/>
    <col min="6150" max="6400" width="9.140625" style="48"/>
    <col min="6401" max="6401" width="13.5703125" style="48" customWidth="1"/>
    <col min="6402" max="6402" width="12.85546875" style="48" customWidth="1"/>
    <col min="6403" max="6403" width="15" style="48" customWidth="1"/>
    <col min="6404" max="6405" width="13.42578125" style="48" customWidth="1"/>
    <col min="6406" max="6656" width="9.140625" style="48"/>
    <col min="6657" max="6657" width="13.5703125" style="48" customWidth="1"/>
    <col min="6658" max="6658" width="12.85546875" style="48" customWidth="1"/>
    <col min="6659" max="6659" width="15" style="48" customWidth="1"/>
    <col min="6660" max="6661" width="13.42578125" style="48" customWidth="1"/>
    <col min="6662" max="6912" width="9.140625" style="48"/>
    <col min="6913" max="6913" width="13.5703125" style="48" customWidth="1"/>
    <col min="6914" max="6914" width="12.85546875" style="48" customWidth="1"/>
    <col min="6915" max="6915" width="15" style="48" customWidth="1"/>
    <col min="6916" max="6917" width="13.42578125" style="48" customWidth="1"/>
    <col min="6918" max="7168" width="9.140625" style="48"/>
    <col min="7169" max="7169" width="13.5703125" style="48" customWidth="1"/>
    <col min="7170" max="7170" width="12.85546875" style="48" customWidth="1"/>
    <col min="7171" max="7171" width="15" style="48" customWidth="1"/>
    <col min="7172" max="7173" width="13.42578125" style="48" customWidth="1"/>
    <col min="7174" max="7424" width="9.140625" style="48"/>
    <col min="7425" max="7425" width="13.5703125" style="48" customWidth="1"/>
    <col min="7426" max="7426" width="12.85546875" style="48" customWidth="1"/>
    <col min="7427" max="7427" width="15" style="48" customWidth="1"/>
    <col min="7428" max="7429" width="13.42578125" style="48" customWidth="1"/>
    <col min="7430" max="7680" width="9.140625" style="48"/>
    <col min="7681" max="7681" width="13.5703125" style="48" customWidth="1"/>
    <col min="7682" max="7682" width="12.85546875" style="48" customWidth="1"/>
    <col min="7683" max="7683" width="15" style="48" customWidth="1"/>
    <col min="7684" max="7685" width="13.42578125" style="48" customWidth="1"/>
    <col min="7686" max="7936" width="9.140625" style="48"/>
    <col min="7937" max="7937" width="13.5703125" style="48" customWidth="1"/>
    <col min="7938" max="7938" width="12.85546875" style="48" customWidth="1"/>
    <col min="7939" max="7939" width="15" style="48" customWidth="1"/>
    <col min="7940" max="7941" width="13.42578125" style="48" customWidth="1"/>
    <col min="7942" max="8192" width="9.140625" style="48"/>
    <col min="8193" max="8193" width="13.5703125" style="48" customWidth="1"/>
    <col min="8194" max="8194" width="12.85546875" style="48" customWidth="1"/>
    <col min="8195" max="8195" width="15" style="48" customWidth="1"/>
    <col min="8196" max="8197" width="13.42578125" style="48" customWidth="1"/>
    <col min="8198" max="8448" width="9.140625" style="48"/>
    <col min="8449" max="8449" width="13.5703125" style="48" customWidth="1"/>
    <col min="8450" max="8450" width="12.85546875" style="48" customWidth="1"/>
    <col min="8451" max="8451" width="15" style="48" customWidth="1"/>
    <col min="8452" max="8453" width="13.42578125" style="48" customWidth="1"/>
    <col min="8454" max="8704" width="9.140625" style="48"/>
    <col min="8705" max="8705" width="13.5703125" style="48" customWidth="1"/>
    <col min="8706" max="8706" width="12.85546875" style="48" customWidth="1"/>
    <col min="8707" max="8707" width="15" style="48" customWidth="1"/>
    <col min="8708" max="8709" width="13.42578125" style="48" customWidth="1"/>
    <col min="8710" max="8960" width="9.140625" style="48"/>
    <col min="8961" max="8961" width="13.5703125" style="48" customWidth="1"/>
    <col min="8962" max="8962" width="12.85546875" style="48" customWidth="1"/>
    <col min="8963" max="8963" width="15" style="48" customWidth="1"/>
    <col min="8964" max="8965" width="13.42578125" style="48" customWidth="1"/>
    <col min="8966" max="9216" width="9.140625" style="48"/>
    <col min="9217" max="9217" width="13.5703125" style="48" customWidth="1"/>
    <col min="9218" max="9218" width="12.85546875" style="48" customWidth="1"/>
    <col min="9219" max="9219" width="15" style="48" customWidth="1"/>
    <col min="9220" max="9221" width="13.42578125" style="48" customWidth="1"/>
    <col min="9222" max="9472" width="9.140625" style="48"/>
    <col min="9473" max="9473" width="13.5703125" style="48" customWidth="1"/>
    <col min="9474" max="9474" width="12.85546875" style="48" customWidth="1"/>
    <col min="9475" max="9475" width="15" style="48" customWidth="1"/>
    <col min="9476" max="9477" width="13.42578125" style="48" customWidth="1"/>
    <col min="9478" max="9728" width="9.140625" style="48"/>
    <col min="9729" max="9729" width="13.5703125" style="48" customWidth="1"/>
    <col min="9730" max="9730" width="12.85546875" style="48" customWidth="1"/>
    <col min="9731" max="9731" width="15" style="48" customWidth="1"/>
    <col min="9732" max="9733" width="13.42578125" style="48" customWidth="1"/>
    <col min="9734" max="9984" width="9.140625" style="48"/>
    <col min="9985" max="9985" width="13.5703125" style="48" customWidth="1"/>
    <col min="9986" max="9986" width="12.85546875" style="48" customWidth="1"/>
    <col min="9987" max="9987" width="15" style="48" customWidth="1"/>
    <col min="9988" max="9989" width="13.42578125" style="48" customWidth="1"/>
    <col min="9990" max="10240" width="9.140625" style="48"/>
    <col min="10241" max="10241" width="13.5703125" style="48" customWidth="1"/>
    <col min="10242" max="10242" width="12.85546875" style="48" customWidth="1"/>
    <col min="10243" max="10243" width="15" style="48" customWidth="1"/>
    <col min="10244" max="10245" width="13.42578125" style="48" customWidth="1"/>
    <col min="10246" max="10496" width="9.140625" style="48"/>
    <col min="10497" max="10497" width="13.5703125" style="48" customWidth="1"/>
    <col min="10498" max="10498" width="12.85546875" style="48" customWidth="1"/>
    <col min="10499" max="10499" width="15" style="48" customWidth="1"/>
    <col min="10500" max="10501" width="13.42578125" style="48" customWidth="1"/>
    <col min="10502" max="10752" width="9.140625" style="48"/>
    <col min="10753" max="10753" width="13.5703125" style="48" customWidth="1"/>
    <col min="10754" max="10754" width="12.85546875" style="48" customWidth="1"/>
    <col min="10755" max="10755" width="15" style="48" customWidth="1"/>
    <col min="10756" max="10757" width="13.42578125" style="48" customWidth="1"/>
    <col min="10758" max="11008" width="9.140625" style="48"/>
    <col min="11009" max="11009" width="13.5703125" style="48" customWidth="1"/>
    <col min="11010" max="11010" width="12.85546875" style="48" customWidth="1"/>
    <col min="11011" max="11011" width="15" style="48" customWidth="1"/>
    <col min="11012" max="11013" width="13.42578125" style="48" customWidth="1"/>
    <col min="11014" max="11264" width="9.140625" style="48"/>
    <col min="11265" max="11265" width="13.5703125" style="48" customWidth="1"/>
    <col min="11266" max="11266" width="12.85546875" style="48" customWidth="1"/>
    <col min="11267" max="11267" width="15" style="48" customWidth="1"/>
    <col min="11268" max="11269" width="13.42578125" style="48" customWidth="1"/>
    <col min="11270" max="11520" width="9.140625" style="48"/>
    <col min="11521" max="11521" width="13.5703125" style="48" customWidth="1"/>
    <col min="11522" max="11522" width="12.85546875" style="48" customWidth="1"/>
    <col min="11523" max="11523" width="15" style="48" customWidth="1"/>
    <col min="11524" max="11525" width="13.42578125" style="48" customWidth="1"/>
    <col min="11526" max="11776" width="9.140625" style="48"/>
    <col min="11777" max="11777" width="13.5703125" style="48" customWidth="1"/>
    <col min="11778" max="11778" width="12.85546875" style="48" customWidth="1"/>
    <col min="11779" max="11779" width="15" style="48" customWidth="1"/>
    <col min="11780" max="11781" width="13.42578125" style="48" customWidth="1"/>
    <col min="11782" max="12032" width="9.140625" style="48"/>
    <col min="12033" max="12033" width="13.5703125" style="48" customWidth="1"/>
    <col min="12034" max="12034" width="12.85546875" style="48" customWidth="1"/>
    <col min="12035" max="12035" width="15" style="48" customWidth="1"/>
    <col min="12036" max="12037" width="13.42578125" style="48" customWidth="1"/>
    <col min="12038" max="12288" width="9.140625" style="48"/>
    <col min="12289" max="12289" width="13.5703125" style="48" customWidth="1"/>
    <col min="12290" max="12290" width="12.85546875" style="48" customWidth="1"/>
    <col min="12291" max="12291" width="15" style="48" customWidth="1"/>
    <col min="12292" max="12293" width="13.42578125" style="48" customWidth="1"/>
    <col min="12294" max="12544" width="9.140625" style="48"/>
    <col min="12545" max="12545" width="13.5703125" style="48" customWidth="1"/>
    <col min="12546" max="12546" width="12.85546875" style="48" customWidth="1"/>
    <col min="12547" max="12547" width="15" style="48" customWidth="1"/>
    <col min="12548" max="12549" width="13.42578125" style="48" customWidth="1"/>
    <col min="12550" max="12800" width="9.140625" style="48"/>
    <col min="12801" max="12801" width="13.5703125" style="48" customWidth="1"/>
    <col min="12802" max="12802" width="12.85546875" style="48" customWidth="1"/>
    <col min="12803" max="12803" width="15" style="48" customWidth="1"/>
    <col min="12804" max="12805" width="13.42578125" style="48" customWidth="1"/>
    <col min="12806" max="13056" width="9.140625" style="48"/>
    <col min="13057" max="13057" width="13.5703125" style="48" customWidth="1"/>
    <col min="13058" max="13058" width="12.85546875" style="48" customWidth="1"/>
    <col min="13059" max="13059" width="15" style="48" customWidth="1"/>
    <col min="13060" max="13061" width="13.42578125" style="48" customWidth="1"/>
    <col min="13062" max="13312" width="9.140625" style="48"/>
    <col min="13313" max="13313" width="13.5703125" style="48" customWidth="1"/>
    <col min="13314" max="13314" width="12.85546875" style="48" customWidth="1"/>
    <col min="13315" max="13315" width="15" style="48" customWidth="1"/>
    <col min="13316" max="13317" width="13.42578125" style="48" customWidth="1"/>
    <col min="13318" max="13568" width="9.140625" style="48"/>
    <col min="13569" max="13569" width="13.5703125" style="48" customWidth="1"/>
    <col min="13570" max="13570" width="12.85546875" style="48" customWidth="1"/>
    <col min="13571" max="13571" width="15" style="48" customWidth="1"/>
    <col min="13572" max="13573" width="13.42578125" style="48" customWidth="1"/>
    <col min="13574" max="13824" width="9.140625" style="48"/>
    <col min="13825" max="13825" width="13.5703125" style="48" customWidth="1"/>
    <col min="13826" max="13826" width="12.85546875" style="48" customWidth="1"/>
    <col min="13827" max="13827" width="15" style="48" customWidth="1"/>
    <col min="13828" max="13829" width="13.42578125" style="48" customWidth="1"/>
    <col min="13830" max="14080" width="9.140625" style="48"/>
    <col min="14081" max="14081" width="13.5703125" style="48" customWidth="1"/>
    <col min="14082" max="14082" width="12.85546875" style="48" customWidth="1"/>
    <col min="14083" max="14083" width="15" style="48" customWidth="1"/>
    <col min="14084" max="14085" width="13.42578125" style="48" customWidth="1"/>
    <col min="14086" max="14336" width="9.140625" style="48"/>
    <col min="14337" max="14337" width="13.5703125" style="48" customWidth="1"/>
    <col min="14338" max="14338" width="12.85546875" style="48" customWidth="1"/>
    <col min="14339" max="14339" width="15" style="48" customWidth="1"/>
    <col min="14340" max="14341" width="13.42578125" style="48" customWidth="1"/>
    <col min="14342" max="14592" width="9.140625" style="48"/>
    <col min="14593" max="14593" width="13.5703125" style="48" customWidth="1"/>
    <col min="14594" max="14594" width="12.85546875" style="48" customWidth="1"/>
    <col min="14595" max="14595" width="15" style="48" customWidth="1"/>
    <col min="14596" max="14597" width="13.42578125" style="48" customWidth="1"/>
    <col min="14598" max="14848" width="9.140625" style="48"/>
    <col min="14849" max="14849" width="13.5703125" style="48" customWidth="1"/>
    <col min="14850" max="14850" width="12.85546875" style="48" customWidth="1"/>
    <col min="14851" max="14851" width="15" style="48" customWidth="1"/>
    <col min="14852" max="14853" width="13.42578125" style="48" customWidth="1"/>
    <col min="14854" max="15104" width="9.140625" style="48"/>
    <col min="15105" max="15105" width="13.5703125" style="48" customWidth="1"/>
    <col min="15106" max="15106" width="12.85546875" style="48" customWidth="1"/>
    <col min="15107" max="15107" width="15" style="48" customWidth="1"/>
    <col min="15108" max="15109" width="13.42578125" style="48" customWidth="1"/>
    <col min="15110" max="15360" width="9.140625" style="48"/>
    <col min="15361" max="15361" width="13.5703125" style="48" customWidth="1"/>
    <col min="15362" max="15362" width="12.85546875" style="48" customWidth="1"/>
    <col min="15363" max="15363" width="15" style="48" customWidth="1"/>
    <col min="15364" max="15365" width="13.42578125" style="48" customWidth="1"/>
    <col min="15366" max="15616" width="9.140625" style="48"/>
    <col min="15617" max="15617" width="13.5703125" style="48" customWidth="1"/>
    <col min="15618" max="15618" width="12.85546875" style="48" customWidth="1"/>
    <col min="15619" max="15619" width="15" style="48" customWidth="1"/>
    <col min="15620" max="15621" width="13.42578125" style="48" customWidth="1"/>
    <col min="15622" max="15872" width="9.140625" style="48"/>
    <col min="15873" max="15873" width="13.5703125" style="48" customWidth="1"/>
    <col min="15874" max="15874" width="12.85546875" style="48" customWidth="1"/>
    <col min="15875" max="15875" width="15" style="48" customWidth="1"/>
    <col min="15876" max="15877" width="13.42578125" style="48" customWidth="1"/>
    <col min="15878" max="16128" width="9.140625" style="48"/>
    <col min="16129" max="16129" width="13.5703125" style="48" customWidth="1"/>
    <col min="16130" max="16130" width="12.85546875" style="48" customWidth="1"/>
    <col min="16131" max="16131" width="15" style="48" customWidth="1"/>
    <col min="16132" max="16133" width="13.42578125" style="48" customWidth="1"/>
    <col min="16134" max="16384" width="9.140625" style="48"/>
  </cols>
  <sheetData>
    <row r="1" spans="1:11" ht="16.5" x14ac:dyDescent="0.2">
      <c r="A1" s="786" t="s">
        <v>464</v>
      </c>
      <c r="B1" s="787"/>
      <c r="C1" s="787"/>
      <c r="D1" s="787"/>
      <c r="E1" s="787"/>
      <c r="F1" s="713"/>
      <c r="G1" s="713"/>
      <c r="H1" s="787"/>
      <c r="I1" s="787"/>
      <c r="J1" s="787"/>
      <c r="K1" s="788"/>
    </row>
    <row r="2" spans="1:11" s="49" customFormat="1" ht="16.5" x14ac:dyDescent="0.2">
      <c r="A2" s="789" t="s">
        <v>219</v>
      </c>
      <c r="B2" s="716"/>
      <c r="C2" s="716"/>
      <c r="D2" s="716"/>
      <c r="E2" s="716"/>
      <c r="F2" s="716"/>
      <c r="G2" s="716"/>
      <c r="H2" s="716"/>
      <c r="I2" s="716"/>
      <c r="J2" s="716"/>
      <c r="K2" s="717"/>
    </row>
    <row r="3" spans="1:11" s="49" customFormat="1" ht="13.5" thickBot="1" x14ac:dyDescent="0.25">
      <c r="A3" s="790" t="s">
        <v>424</v>
      </c>
      <c r="B3" s="719"/>
      <c r="C3" s="719"/>
      <c r="D3" s="719"/>
      <c r="E3" s="719"/>
      <c r="F3" s="719"/>
      <c r="G3" s="719"/>
      <c r="H3" s="719"/>
      <c r="I3" s="719"/>
      <c r="J3" s="719"/>
      <c r="K3" s="720"/>
    </row>
    <row r="4" spans="1:11" ht="13.5" thickBot="1" x14ac:dyDescent="0.25">
      <c r="A4" s="706"/>
      <c r="B4" s="791"/>
      <c r="C4" s="791"/>
      <c r="D4" s="791"/>
      <c r="E4" s="791"/>
      <c r="F4" s="708"/>
      <c r="G4" s="708"/>
      <c r="H4" s="791"/>
      <c r="I4" s="791"/>
      <c r="J4" s="791"/>
      <c r="K4" s="792"/>
    </row>
    <row r="5" spans="1:11" s="132" customFormat="1" ht="12.75" customHeight="1" x14ac:dyDescent="0.2">
      <c r="A5" s="771" t="s">
        <v>381</v>
      </c>
      <c r="B5" s="772" t="s">
        <v>353</v>
      </c>
      <c r="C5" s="660" t="s">
        <v>423</v>
      </c>
      <c r="D5" s="799" t="s">
        <v>449</v>
      </c>
      <c r="E5" s="775"/>
      <c r="F5" s="726" t="s">
        <v>450</v>
      </c>
      <c r="G5" s="727"/>
      <c r="H5" s="776" t="s">
        <v>451</v>
      </c>
      <c r="I5" s="777"/>
      <c r="J5" s="774" t="s">
        <v>452</v>
      </c>
      <c r="K5" s="775"/>
    </row>
    <row r="6" spans="1:11" s="132" customFormat="1" x14ac:dyDescent="0.2">
      <c r="A6" s="698"/>
      <c r="B6" s="659"/>
      <c r="C6" s="773"/>
      <c r="D6" s="388" t="s">
        <v>133</v>
      </c>
      <c r="E6" s="389" t="s">
        <v>390</v>
      </c>
      <c r="F6" s="388" t="s">
        <v>133</v>
      </c>
      <c r="G6" s="389" t="s">
        <v>390</v>
      </c>
      <c r="H6" s="388" t="s">
        <v>133</v>
      </c>
      <c r="I6" s="389" t="s">
        <v>390</v>
      </c>
      <c r="J6" s="390" t="s">
        <v>133</v>
      </c>
      <c r="K6" s="389" t="s">
        <v>390</v>
      </c>
    </row>
    <row r="7" spans="1:11" x14ac:dyDescent="0.2">
      <c r="A7" s="391" t="s">
        <v>290</v>
      </c>
      <c r="B7" s="392">
        <v>6</v>
      </c>
      <c r="C7" s="393">
        <v>0</v>
      </c>
      <c r="D7" s="394">
        <v>4</v>
      </c>
      <c r="E7" s="395">
        <f t="shared" ref="E7:E16" si="0">ROUND((C7*D7)/B7,2)</f>
        <v>0</v>
      </c>
      <c r="F7" s="394">
        <v>4</v>
      </c>
      <c r="G7" s="490">
        <f>ROUND((C7*F7)/B7,2)</f>
        <v>0</v>
      </c>
      <c r="H7" s="394">
        <v>4</v>
      </c>
      <c r="I7" s="395">
        <f t="shared" ref="I7:I16" si="1">ROUND((C7*H7)/B7,2)</f>
        <v>0</v>
      </c>
      <c r="J7" s="396">
        <v>4</v>
      </c>
      <c r="K7" s="397">
        <f>ROUND((C7*J7)/B7,2)</f>
        <v>0</v>
      </c>
    </row>
    <row r="8" spans="1:11" x14ac:dyDescent="0.2">
      <c r="A8" s="391" t="s">
        <v>291</v>
      </c>
      <c r="B8" s="392">
        <v>6</v>
      </c>
      <c r="C8" s="393">
        <v>0</v>
      </c>
      <c r="D8" s="394">
        <v>2</v>
      </c>
      <c r="E8" s="395">
        <f t="shared" si="0"/>
        <v>0</v>
      </c>
      <c r="F8" s="394">
        <v>2</v>
      </c>
      <c r="G8" s="490">
        <f>ROUND((C8*F8)/B8,2)</f>
        <v>0</v>
      </c>
      <c r="H8" s="394">
        <v>2</v>
      </c>
      <c r="I8" s="395">
        <f t="shared" si="1"/>
        <v>0</v>
      </c>
      <c r="J8" s="396">
        <v>2</v>
      </c>
      <c r="K8" s="397">
        <f t="shared" ref="K8:K37" si="2">ROUND((C8*J8)/B8,2)</f>
        <v>0</v>
      </c>
    </row>
    <row r="9" spans="1:11" x14ac:dyDescent="0.2">
      <c r="A9" s="398" t="s">
        <v>292</v>
      </c>
      <c r="B9" s="392">
        <v>6</v>
      </c>
      <c r="C9" s="393">
        <v>0</v>
      </c>
      <c r="D9" s="394">
        <v>3</v>
      </c>
      <c r="E9" s="395">
        <f t="shared" si="0"/>
        <v>0</v>
      </c>
      <c r="F9" s="394">
        <v>3</v>
      </c>
      <c r="G9" s="490">
        <f t="shared" ref="G9:G16" si="3">ROUND((C9*F9)/B9,2)</f>
        <v>0</v>
      </c>
      <c r="H9" s="394">
        <v>3</v>
      </c>
      <c r="I9" s="395">
        <f t="shared" si="1"/>
        <v>0</v>
      </c>
      <c r="J9" s="396">
        <v>3</v>
      </c>
      <c r="K9" s="397">
        <f t="shared" si="2"/>
        <v>0</v>
      </c>
    </row>
    <row r="10" spans="1:11" x14ac:dyDescent="0.2">
      <c r="A10" s="391" t="s">
        <v>293</v>
      </c>
      <c r="B10" s="392">
        <v>6</v>
      </c>
      <c r="C10" s="393">
        <v>0</v>
      </c>
      <c r="D10" s="394">
        <v>1</v>
      </c>
      <c r="E10" s="395">
        <f t="shared" si="0"/>
        <v>0</v>
      </c>
      <c r="F10" s="394">
        <v>1</v>
      </c>
      <c r="G10" s="490">
        <f t="shared" si="3"/>
        <v>0</v>
      </c>
      <c r="H10" s="394">
        <v>1</v>
      </c>
      <c r="I10" s="395">
        <f t="shared" si="1"/>
        <v>0</v>
      </c>
      <c r="J10" s="396">
        <v>1</v>
      </c>
      <c r="K10" s="397">
        <f t="shared" si="2"/>
        <v>0</v>
      </c>
    </row>
    <row r="11" spans="1:11" x14ac:dyDescent="0.2">
      <c r="A11" s="391" t="s">
        <v>379</v>
      </c>
      <c r="B11" s="392">
        <v>6</v>
      </c>
      <c r="C11" s="393">
        <v>0</v>
      </c>
      <c r="D11" s="394">
        <v>0</v>
      </c>
      <c r="E11" s="395">
        <f t="shared" si="0"/>
        <v>0</v>
      </c>
      <c r="F11" s="394">
        <v>0</v>
      </c>
      <c r="G11" s="490">
        <f t="shared" si="3"/>
        <v>0</v>
      </c>
      <c r="H11" s="394">
        <v>0</v>
      </c>
      <c r="I11" s="395">
        <f t="shared" si="1"/>
        <v>0</v>
      </c>
      <c r="J11" s="396">
        <v>0</v>
      </c>
      <c r="K11" s="397">
        <f t="shared" si="2"/>
        <v>0</v>
      </c>
    </row>
    <row r="12" spans="1:11" x14ac:dyDescent="0.2">
      <c r="A12" s="391" t="s">
        <v>294</v>
      </c>
      <c r="B12" s="392">
        <v>6</v>
      </c>
      <c r="C12" s="393">
        <v>0</v>
      </c>
      <c r="D12" s="394">
        <v>6</v>
      </c>
      <c r="E12" s="395">
        <f t="shared" si="0"/>
        <v>0</v>
      </c>
      <c r="F12" s="394">
        <v>6</v>
      </c>
      <c r="G12" s="490">
        <f t="shared" si="3"/>
        <v>0</v>
      </c>
      <c r="H12" s="394">
        <v>6</v>
      </c>
      <c r="I12" s="395">
        <f t="shared" si="1"/>
        <v>0</v>
      </c>
      <c r="J12" s="396">
        <v>6</v>
      </c>
      <c r="K12" s="397">
        <f t="shared" si="2"/>
        <v>0</v>
      </c>
    </row>
    <row r="13" spans="1:11" x14ac:dyDescent="0.2">
      <c r="A13" s="391" t="s">
        <v>295</v>
      </c>
      <c r="B13" s="392">
        <v>6</v>
      </c>
      <c r="C13" s="393">
        <v>0</v>
      </c>
      <c r="D13" s="394">
        <v>2</v>
      </c>
      <c r="E13" s="395">
        <f t="shared" si="0"/>
        <v>0</v>
      </c>
      <c r="F13" s="394">
        <v>2</v>
      </c>
      <c r="G13" s="490">
        <f t="shared" si="3"/>
        <v>0</v>
      </c>
      <c r="H13" s="394">
        <v>2</v>
      </c>
      <c r="I13" s="395">
        <f t="shared" si="1"/>
        <v>0</v>
      </c>
      <c r="J13" s="396">
        <v>2</v>
      </c>
      <c r="K13" s="397">
        <f t="shared" si="2"/>
        <v>0</v>
      </c>
    </row>
    <row r="14" spans="1:11" ht="25.5" x14ac:dyDescent="0.2">
      <c r="A14" s="399" t="s">
        <v>296</v>
      </c>
      <c r="B14" s="392">
        <v>6</v>
      </c>
      <c r="C14" s="393">
        <v>0</v>
      </c>
      <c r="D14" s="394">
        <v>1</v>
      </c>
      <c r="E14" s="395">
        <f t="shared" si="0"/>
        <v>0</v>
      </c>
      <c r="F14" s="394">
        <v>1</v>
      </c>
      <c r="G14" s="490">
        <f t="shared" si="3"/>
        <v>0</v>
      </c>
      <c r="H14" s="394">
        <v>1</v>
      </c>
      <c r="I14" s="395">
        <f t="shared" si="1"/>
        <v>0</v>
      </c>
      <c r="J14" s="396">
        <v>1</v>
      </c>
      <c r="K14" s="397">
        <f t="shared" si="2"/>
        <v>0</v>
      </c>
    </row>
    <row r="15" spans="1:11" x14ac:dyDescent="0.2">
      <c r="A15" s="391" t="s">
        <v>297</v>
      </c>
      <c r="B15" s="392">
        <v>6</v>
      </c>
      <c r="C15" s="393">
        <v>0</v>
      </c>
      <c r="D15" s="394">
        <v>1</v>
      </c>
      <c r="E15" s="395">
        <f t="shared" si="0"/>
        <v>0</v>
      </c>
      <c r="F15" s="394">
        <v>1</v>
      </c>
      <c r="G15" s="490">
        <f t="shared" si="3"/>
        <v>0</v>
      </c>
      <c r="H15" s="394">
        <v>1</v>
      </c>
      <c r="I15" s="395">
        <f t="shared" si="1"/>
        <v>0</v>
      </c>
      <c r="J15" s="396">
        <v>1</v>
      </c>
      <c r="K15" s="397">
        <f t="shared" si="2"/>
        <v>0</v>
      </c>
    </row>
    <row r="16" spans="1:11" x14ac:dyDescent="0.2">
      <c r="A16" s="400" t="s">
        <v>380</v>
      </c>
      <c r="B16" s="401">
        <v>12</v>
      </c>
      <c r="C16" s="402">
        <v>0</v>
      </c>
      <c r="D16" s="403">
        <v>1</v>
      </c>
      <c r="E16" s="395">
        <f t="shared" si="0"/>
        <v>0</v>
      </c>
      <c r="F16" s="394">
        <v>1</v>
      </c>
      <c r="G16" s="490">
        <f t="shared" si="3"/>
        <v>0</v>
      </c>
      <c r="H16" s="403">
        <v>1</v>
      </c>
      <c r="I16" s="395">
        <f t="shared" si="1"/>
        <v>0</v>
      </c>
      <c r="J16" s="404">
        <v>1</v>
      </c>
      <c r="K16" s="405">
        <f t="shared" si="2"/>
        <v>0</v>
      </c>
    </row>
    <row r="17" spans="1:11" ht="13.5" thickBot="1" x14ac:dyDescent="0.25">
      <c r="A17" s="263" t="s">
        <v>316</v>
      </c>
      <c r="B17" s="406"/>
      <c r="C17" s="406"/>
      <c r="D17" s="263"/>
      <c r="E17" s="265">
        <f>SUM(E7:E16)</f>
        <v>0</v>
      </c>
      <c r="F17" s="488"/>
      <c r="G17" s="265">
        <f>SUM(G7:G16)</f>
        <v>0</v>
      </c>
      <c r="H17" s="263"/>
      <c r="I17" s="266">
        <f>SUM(I7:I16)</f>
        <v>0</v>
      </c>
      <c r="J17" s="407"/>
      <c r="K17" s="267">
        <f>SUM(K7:K16)</f>
        <v>0</v>
      </c>
    </row>
    <row r="18" spans="1:11" ht="13.5" thickBot="1" x14ac:dyDescent="0.25">
      <c r="A18" s="793"/>
      <c r="B18" s="794"/>
      <c r="C18" s="794"/>
      <c r="D18" s="794"/>
      <c r="E18" s="794"/>
      <c r="F18" s="795"/>
      <c r="G18" s="795"/>
      <c r="H18" s="794"/>
      <c r="I18" s="794"/>
      <c r="J18" s="794"/>
      <c r="K18" s="796"/>
    </row>
    <row r="19" spans="1:11" s="132" customFormat="1" ht="12.75" customHeight="1" x14ac:dyDescent="0.2">
      <c r="A19" s="771" t="s">
        <v>230</v>
      </c>
      <c r="B19" s="772" t="str">
        <f>B5</f>
        <v>Periodicidade / Meses</v>
      </c>
      <c r="C19" s="660" t="str">
        <f>C5</f>
        <v>Valor Unitário</v>
      </c>
      <c r="D19" s="776" t="str">
        <f>D5</f>
        <v>CEGUA</v>
      </c>
      <c r="E19" s="777"/>
      <c r="F19" s="726" t="str">
        <f>F5</f>
        <v>CEPIR</v>
      </c>
      <c r="G19" s="727"/>
      <c r="H19" s="776" t="str">
        <f>H5</f>
        <v>CESJC</v>
      </c>
      <c r="I19" s="777"/>
      <c r="J19" s="774" t="str">
        <f>J5</f>
        <v>CESOR</v>
      </c>
      <c r="K19" s="775"/>
    </row>
    <row r="20" spans="1:11" s="132" customFormat="1" x14ac:dyDescent="0.2">
      <c r="A20" s="698"/>
      <c r="B20" s="659"/>
      <c r="C20" s="773"/>
      <c r="D20" s="388" t="str">
        <f>D6</f>
        <v>Quantidade</v>
      </c>
      <c r="E20" s="389" t="str">
        <f>E6</f>
        <v>Valor</v>
      </c>
      <c r="F20" s="388" t="str">
        <f>F6</f>
        <v>Quantidade</v>
      </c>
      <c r="G20" s="389" t="str">
        <f>G6</f>
        <v>Valor</v>
      </c>
      <c r="H20" s="388" t="str">
        <f>H6</f>
        <v>Quantidade</v>
      </c>
      <c r="I20" s="389" t="str">
        <f>I6</f>
        <v>Valor</v>
      </c>
      <c r="J20" s="390" t="str">
        <f>J6</f>
        <v>Quantidade</v>
      </c>
      <c r="K20" s="389" t="str">
        <f>K6</f>
        <v>Valor</v>
      </c>
    </row>
    <row r="21" spans="1:11" x14ac:dyDescent="0.2">
      <c r="A21" s="391" t="s">
        <v>298</v>
      </c>
      <c r="B21" s="392">
        <v>12</v>
      </c>
      <c r="C21" s="393">
        <v>0</v>
      </c>
      <c r="D21" s="394">
        <v>1</v>
      </c>
      <c r="E21" s="395">
        <f>ROUND((C21*D21)/B21,2)</f>
        <v>0</v>
      </c>
      <c r="F21" s="394">
        <v>1</v>
      </c>
      <c r="G21" s="490">
        <f>ROUND((C21*F21)/B21,2)</f>
        <v>0</v>
      </c>
      <c r="H21" s="394">
        <v>2</v>
      </c>
      <c r="I21" s="395">
        <f t="shared" ref="I21:I37" si="4">ROUND((C21*H21)/B21,2)</f>
        <v>0</v>
      </c>
      <c r="J21" s="396">
        <v>4</v>
      </c>
      <c r="K21" s="397">
        <f t="shared" si="2"/>
        <v>0</v>
      </c>
    </row>
    <row r="22" spans="1:11" x14ac:dyDescent="0.2">
      <c r="A22" s="391" t="s">
        <v>299</v>
      </c>
      <c r="B22" s="392">
        <v>6</v>
      </c>
      <c r="C22" s="393">
        <v>0</v>
      </c>
      <c r="D22" s="394">
        <v>2</v>
      </c>
      <c r="E22" s="395">
        <f t="shared" ref="E22:E37" si="5">ROUND((C22*D22)/B22,2)</f>
        <v>0</v>
      </c>
      <c r="F22" s="394">
        <v>7</v>
      </c>
      <c r="G22" s="490">
        <f>ROUND((C22*F22)/B22,2)</f>
        <v>0</v>
      </c>
      <c r="H22" s="394">
        <v>12</v>
      </c>
      <c r="I22" s="395">
        <f t="shared" si="4"/>
        <v>0</v>
      </c>
      <c r="J22" s="396">
        <v>15</v>
      </c>
      <c r="K22" s="397">
        <f t="shared" si="2"/>
        <v>0</v>
      </c>
    </row>
    <row r="23" spans="1:11" x14ac:dyDescent="0.2">
      <c r="A23" s="391" t="s">
        <v>382</v>
      </c>
      <c r="B23" s="392">
        <v>12</v>
      </c>
      <c r="C23" s="393">
        <v>0</v>
      </c>
      <c r="D23" s="394">
        <v>2</v>
      </c>
      <c r="E23" s="395">
        <f t="shared" si="5"/>
        <v>0</v>
      </c>
      <c r="F23" s="394">
        <v>7</v>
      </c>
      <c r="G23" s="490">
        <f t="shared" ref="G23:G37" si="6">ROUND((C23*F23)/B23,2)</f>
        <v>0</v>
      </c>
      <c r="H23" s="394">
        <v>12</v>
      </c>
      <c r="I23" s="395">
        <f t="shared" si="4"/>
        <v>0</v>
      </c>
      <c r="J23" s="396">
        <v>15</v>
      </c>
      <c r="K23" s="397">
        <f t="shared" si="2"/>
        <v>0</v>
      </c>
    </row>
    <row r="24" spans="1:11" x14ac:dyDescent="0.2">
      <c r="A24" s="391" t="s">
        <v>300</v>
      </c>
      <c r="B24" s="392">
        <v>3</v>
      </c>
      <c r="C24" s="393">
        <v>0</v>
      </c>
      <c r="D24" s="394">
        <v>2</v>
      </c>
      <c r="E24" s="395">
        <f t="shared" si="5"/>
        <v>0</v>
      </c>
      <c r="F24" s="394">
        <v>7</v>
      </c>
      <c r="G24" s="490">
        <f t="shared" si="6"/>
        <v>0</v>
      </c>
      <c r="H24" s="394">
        <v>12</v>
      </c>
      <c r="I24" s="395">
        <f t="shared" si="4"/>
        <v>0</v>
      </c>
      <c r="J24" s="396">
        <v>15</v>
      </c>
      <c r="K24" s="397">
        <f t="shared" si="2"/>
        <v>0</v>
      </c>
    </row>
    <row r="25" spans="1:11" x14ac:dyDescent="0.2">
      <c r="A25" s="391" t="s">
        <v>383</v>
      </c>
      <c r="B25" s="392">
        <v>12</v>
      </c>
      <c r="C25" s="393">
        <v>0</v>
      </c>
      <c r="D25" s="394">
        <v>2</v>
      </c>
      <c r="E25" s="395">
        <f t="shared" si="5"/>
        <v>0</v>
      </c>
      <c r="F25" s="394">
        <v>6</v>
      </c>
      <c r="G25" s="490">
        <f t="shared" si="6"/>
        <v>0</v>
      </c>
      <c r="H25" s="394">
        <v>12</v>
      </c>
      <c r="I25" s="395">
        <f t="shared" si="4"/>
        <v>0</v>
      </c>
      <c r="J25" s="396">
        <v>15</v>
      </c>
      <c r="K25" s="397">
        <f t="shared" si="2"/>
        <v>0</v>
      </c>
    </row>
    <row r="26" spans="1:11" x14ac:dyDescent="0.2">
      <c r="A26" s="391" t="s">
        <v>301</v>
      </c>
      <c r="B26" s="392">
        <v>12</v>
      </c>
      <c r="C26" s="393">
        <v>0</v>
      </c>
      <c r="D26" s="394">
        <v>0</v>
      </c>
      <c r="E26" s="395">
        <f t="shared" si="5"/>
        <v>0</v>
      </c>
      <c r="F26" s="394">
        <v>0</v>
      </c>
      <c r="G26" s="490">
        <f t="shared" si="6"/>
        <v>0</v>
      </c>
      <c r="H26" s="394">
        <v>0</v>
      </c>
      <c r="I26" s="395">
        <f t="shared" si="4"/>
        <v>0</v>
      </c>
      <c r="J26" s="396">
        <v>0</v>
      </c>
      <c r="K26" s="397">
        <f t="shared" si="2"/>
        <v>0</v>
      </c>
    </row>
    <row r="27" spans="1:11" x14ac:dyDescent="0.2">
      <c r="A27" s="391" t="s">
        <v>302</v>
      </c>
      <c r="B27" s="392">
        <v>12</v>
      </c>
      <c r="C27" s="393">
        <v>0</v>
      </c>
      <c r="D27" s="394">
        <v>1</v>
      </c>
      <c r="E27" s="395">
        <f t="shared" si="5"/>
        <v>0</v>
      </c>
      <c r="F27" s="394">
        <v>7</v>
      </c>
      <c r="G27" s="490">
        <f t="shared" si="6"/>
        <v>0</v>
      </c>
      <c r="H27" s="394">
        <v>12</v>
      </c>
      <c r="I27" s="395">
        <f t="shared" si="4"/>
        <v>0</v>
      </c>
      <c r="J27" s="396">
        <v>10</v>
      </c>
      <c r="K27" s="397">
        <f t="shared" si="2"/>
        <v>0</v>
      </c>
    </row>
    <row r="28" spans="1:11" x14ac:dyDescent="0.2">
      <c r="A28" s="391" t="s">
        <v>303</v>
      </c>
      <c r="B28" s="392">
        <v>6</v>
      </c>
      <c r="C28" s="393">
        <v>0</v>
      </c>
      <c r="D28" s="394">
        <v>2</v>
      </c>
      <c r="E28" s="395">
        <f t="shared" si="5"/>
        <v>0</v>
      </c>
      <c r="F28" s="394">
        <v>7</v>
      </c>
      <c r="G28" s="490">
        <f t="shared" si="6"/>
        <v>0</v>
      </c>
      <c r="H28" s="394">
        <v>12</v>
      </c>
      <c r="I28" s="395">
        <f t="shared" si="4"/>
        <v>0</v>
      </c>
      <c r="J28" s="396">
        <v>15</v>
      </c>
      <c r="K28" s="397">
        <f t="shared" si="2"/>
        <v>0</v>
      </c>
    </row>
    <row r="29" spans="1:11" x14ac:dyDescent="0.2">
      <c r="A29" s="391" t="s">
        <v>304</v>
      </c>
      <c r="B29" s="392">
        <v>3</v>
      </c>
      <c r="C29" s="393">
        <v>0</v>
      </c>
      <c r="D29" s="394">
        <v>2</v>
      </c>
      <c r="E29" s="395">
        <f t="shared" si="5"/>
        <v>0</v>
      </c>
      <c r="F29" s="394">
        <v>7</v>
      </c>
      <c r="G29" s="490">
        <f t="shared" si="6"/>
        <v>0</v>
      </c>
      <c r="H29" s="394">
        <v>12</v>
      </c>
      <c r="I29" s="395">
        <f t="shared" si="4"/>
        <v>0</v>
      </c>
      <c r="J29" s="396">
        <v>15</v>
      </c>
      <c r="K29" s="397">
        <f t="shared" si="2"/>
        <v>0</v>
      </c>
    </row>
    <row r="30" spans="1:11" x14ac:dyDescent="0.2">
      <c r="A30" s="391" t="s">
        <v>305</v>
      </c>
      <c r="B30" s="392">
        <v>3</v>
      </c>
      <c r="C30" s="393">
        <v>0</v>
      </c>
      <c r="D30" s="394">
        <v>2</v>
      </c>
      <c r="E30" s="395">
        <f t="shared" si="5"/>
        <v>0</v>
      </c>
      <c r="F30" s="394">
        <v>7</v>
      </c>
      <c r="G30" s="490">
        <f t="shared" si="6"/>
        <v>0</v>
      </c>
      <c r="H30" s="394">
        <v>12</v>
      </c>
      <c r="I30" s="395">
        <f t="shared" si="4"/>
        <v>0</v>
      </c>
      <c r="J30" s="396">
        <v>15</v>
      </c>
      <c r="K30" s="397">
        <f t="shared" si="2"/>
        <v>0</v>
      </c>
    </row>
    <row r="31" spans="1:11" x14ac:dyDescent="0.2">
      <c r="A31" s="391" t="s">
        <v>235</v>
      </c>
      <c r="B31" s="392">
        <v>3</v>
      </c>
      <c r="C31" s="393">
        <v>0</v>
      </c>
      <c r="D31" s="394">
        <v>4</v>
      </c>
      <c r="E31" s="395">
        <f t="shared" si="5"/>
        <v>0</v>
      </c>
      <c r="F31" s="394">
        <v>18</v>
      </c>
      <c r="G31" s="490">
        <f t="shared" si="6"/>
        <v>0</v>
      </c>
      <c r="H31" s="394">
        <v>18</v>
      </c>
      <c r="I31" s="395">
        <f t="shared" si="4"/>
        <v>0</v>
      </c>
      <c r="J31" s="396">
        <v>30</v>
      </c>
      <c r="K31" s="397">
        <f t="shared" si="2"/>
        <v>0</v>
      </c>
    </row>
    <row r="32" spans="1:11" x14ac:dyDescent="0.2">
      <c r="A32" s="391" t="s">
        <v>306</v>
      </c>
      <c r="B32" s="392">
        <v>12</v>
      </c>
      <c r="C32" s="393">
        <v>0</v>
      </c>
      <c r="D32" s="394">
        <v>0</v>
      </c>
      <c r="E32" s="395">
        <f t="shared" si="5"/>
        <v>0</v>
      </c>
      <c r="F32" s="394">
        <v>0</v>
      </c>
      <c r="G32" s="490">
        <f t="shared" si="6"/>
        <v>0</v>
      </c>
      <c r="H32" s="394">
        <v>0</v>
      </c>
      <c r="I32" s="395">
        <f t="shared" si="4"/>
        <v>0</v>
      </c>
      <c r="J32" s="396">
        <v>0</v>
      </c>
      <c r="K32" s="397">
        <f t="shared" si="2"/>
        <v>0</v>
      </c>
    </row>
    <row r="33" spans="1:11" x14ac:dyDescent="0.2">
      <c r="A33" s="391" t="s">
        <v>384</v>
      </c>
      <c r="B33" s="392">
        <v>6</v>
      </c>
      <c r="C33" s="393">
        <v>0</v>
      </c>
      <c r="D33" s="394">
        <v>2</v>
      </c>
      <c r="E33" s="395">
        <f t="shared" si="5"/>
        <v>0</v>
      </c>
      <c r="F33" s="394">
        <v>7</v>
      </c>
      <c r="G33" s="490">
        <f t="shared" si="6"/>
        <v>0</v>
      </c>
      <c r="H33" s="394">
        <v>12</v>
      </c>
      <c r="I33" s="395">
        <f t="shared" si="4"/>
        <v>0</v>
      </c>
      <c r="J33" s="396">
        <v>15</v>
      </c>
      <c r="K33" s="397">
        <f t="shared" si="2"/>
        <v>0</v>
      </c>
    </row>
    <row r="34" spans="1:11" x14ac:dyDescent="0.2">
      <c r="A34" s="391" t="s">
        <v>385</v>
      </c>
      <c r="B34" s="392">
        <v>6</v>
      </c>
      <c r="C34" s="393">
        <v>0</v>
      </c>
      <c r="D34" s="394">
        <v>0</v>
      </c>
      <c r="E34" s="395">
        <f t="shared" si="5"/>
        <v>0</v>
      </c>
      <c r="F34" s="394">
        <v>0</v>
      </c>
      <c r="G34" s="490">
        <f t="shared" si="6"/>
        <v>0</v>
      </c>
      <c r="H34" s="394">
        <v>0</v>
      </c>
      <c r="I34" s="395">
        <f t="shared" si="4"/>
        <v>0</v>
      </c>
      <c r="J34" s="396">
        <v>0</v>
      </c>
      <c r="K34" s="397">
        <f t="shared" si="2"/>
        <v>0</v>
      </c>
    </row>
    <row r="35" spans="1:11" x14ac:dyDescent="0.2">
      <c r="A35" s="391" t="s">
        <v>386</v>
      </c>
      <c r="B35" s="392">
        <v>12</v>
      </c>
      <c r="C35" s="393">
        <v>0</v>
      </c>
      <c r="D35" s="394">
        <v>0</v>
      </c>
      <c r="E35" s="395">
        <f t="shared" si="5"/>
        <v>0</v>
      </c>
      <c r="F35" s="394">
        <v>0</v>
      </c>
      <c r="G35" s="490">
        <f t="shared" si="6"/>
        <v>0</v>
      </c>
      <c r="H35" s="394">
        <v>0</v>
      </c>
      <c r="I35" s="395">
        <f t="shared" si="4"/>
        <v>0</v>
      </c>
      <c r="J35" s="396">
        <v>0</v>
      </c>
      <c r="K35" s="397">
        <f t="shared" si="2"/>
        <v>0</v>
      </c>
    </row>
    <row r="36" spans="1:11" x14ac:dyDescent="0.2">
      <c r="A36" s="391" t="s">
        <v>387</v>
      </c>
      <c r="B36" s="392">
        <v>6</v>
      </c>
      <c r="C36" s="393">
        <v>0</v>
      </c>
      <c r="D36" s="394">
        <v>0</v>
      </c>
      <c r="E36" s="395">
        <f t="shared" si="5"/>
        <v>0</v>
      </c>
      <c r="F36" s="394">
        <v>0</v>
      </c>
      <c r="G36" s="490">
        <f t="shared" si="6"/>
        <v>0</v>
      </c>
      <c r="H36" s="394">
        <v>0</v>
      </c>
      <c r="I36" s="395">
        <f t="shared" si="4"/>
        <v>0</v>
      </c>
      <c r="J36" s="396">
        <v>0</v>
      </c>
      <c r="K36" s="397">
        <f t="shared" si="2"/>
        <v>0</v>
      </c>
    </row>
    <row r="37" spans="1:11" ht="13.5" thickBot="1" x14ac:dyDescent="0.25">
      <c r="A37" s="410" t="s">
        <v>388</v>
      </c>
      <c r="B37" s="401">
        <v>3</v>
      </c>
      <c r="C37" s="393">
        <v>0</v>
      </c>
      <c r="D37" s="403">
        <v>0</v>
      </c>
      <c r="E37" s="411">
        <f t="shared" si="5"/>
        <v>0</v>
      </c>
      <c r="F37" s="491">
        <v>0</v>
      </c>
      <c r="G37" s="490">
        <f t="shared" si="6"/>
        <v>0</v>
      </c>
      <c r="H37" s="403">
        <v>0</v>
      </c>
      <c r="I37" s="411">
        <f t="shared" si="4"/>
        <v>0</v>
      </c>
      <c r="J37" s="404">
        <v>0</v>
      </c>
      <c r="K37" s="405">
        <f t="shared" si="2"/>
        <v>0</v>
      </c>
    </row>
    <row r="38" spans="1:11" ht="13.5" thickBot="1" x14ac:dyDescent="0.25">
      <c r="A38" s="781" t="s">
        <v>316</v>
      </c>
      <c r="B38" s="782"/>
      <c r="C38" s="783"/>
      <c r="D38" s="412"/>
      <c r="E38" s="415">
        <f>SUM(E20:E36)</f>
        <v>0</v>
      </c>
      <c r="F38" s="489"/>
      <c r="G38" s="415">
        <f>SUM(G20:G36)</f>
        <v>0</v>
      </c>
      <c r="H38" s="412"/>
      <c r="I38" s="415">
        <f>SUM(I20:I36)</f>
        <v>0</v>
      </c>
      <c r="J38" s="413"/>
      <c r="K38" s="414">
        <f>SUM(K20:K36)</f>
        <v>0</v>
      </c>
    </row>
    <row r="39" spans="1:11" ht="13.5" thickBot="1" x14ac:dyDescent="0.25">
      <c r="A39" s="778" t="s">
        <v>425</v>
      </c>
      <c r="B39" s="779"/>
      <c r="C39" s="780"/>
      <c r="D39" s="784">
        <f>ROUND((E38/'Quadro Resumo M² - CEGUA'!F16),2)</f>
        <v>0</v>
      </c>
      <c r="E39" s="785"/>
      <c r="F39" s="784">
        <f>ROUND((G38/'Quadro Resumo M² - CEPIR'!F17),2)</f>
        <v>0</v>
      </c>
      <c r="G39" s="785"/>
      <c r="H39" s="784">
        <f>ROUND((I38/'Quadro Resumo M² - CESJC'!F18),2)</f>
        <v>0</v>
      </c>
      <c r="I39" s="785"/>
      <c r="J39" s="797">
        <f>ROUND((K38/'Quadro Resumo M² - CESOR'!F20),2)</f>
        <v>0</v>
      </c>
      <c r="K39" s="798"/>
    </row>
    <row r="40" spans="1:11" s="131" customFormat="1" x14ac:dyDescent="0.2">
      <c r="A40" s="769"/>
      <c r="B40" s="769"/>
      <c r="C40" s="769"/>
      <c r="D40" s="769"/>
      <c r="E40" s="769"/>
      <c r="F40" s="770"/>
      <c r="G40" s="770"/>
      <c r="H40" s="769"/>
      <c r="I40" s="769"/>
      <c r="J40" s="769"/>
      <c r="K40" s="769"/>
    </row>
    <row r="109" spans="5:5" x14ac:dyDescent="0.2">
      <c r="E109" s="48">
        <f>'Uniformes e EPI''s'!I38</f>
        <v>0</v>
      </c>
    </row>
  </sheetData>
  <mergeCells count="26">
    <mergeCell ref="A18:K18"/>
    <mergeCell ref="J5:K5"/>
    <mergeCell ref="J39:K39"/>
    <mergeCell ref="D5:E5"/>
    <mergeCell ref="H5:I5"/>
    <mergeCell ref="A5:A6"/>
    <mergeCell ref="F5:G5"/>
    <mergeCell ref="F19:G19"/>
    <mergeCell ref="F39:G39"/>
    <mergeCell ref="A1:K1"/>
    <mergeCell ref="A2:K2"/>
    <mergeCell ref="A3:K3"/>
    <mergeCell ref="B5:B6"/>
    <mergeCell ref="C5:C6"/>
    <mergeCell ref="A4:K4"/>
    <mergeCell ref="A40:K40"/>
    <mergeCell ref="A19:A20"/>
    <mergeCell ref="B19:B20"/>
    <mergeCell ref="C19:C20"/>
    <mergeCell ref="J19:K19"/>
    <mergeCell ref="D19:E19"/>
    <mergeCell ref="H19:I19"/>
    <mergeCell ref="A39:C39"/>
    <mergeCell ref="A38:C38"/>
    <mergeCell ref="D39:E39"/>
    <mergeCell ref="H39:I39"/>
  </mergeCells>
  <printOptions horizontalCentered="1"/>
  <pageMargins left="0.78740157480314965" right="0.78740157480314965" top="0.78740157480314965" bottom="0.78740157480314965" header="0.31496062992125984" footer="0.31496062992125984"/>
  <pageSetup paperSize="9" scale="80" orientation="landscape" r:id="rId1"/>
  <headerFooter>
    <oddHeader>&amp;RPlanilhas MODELO LICITANTE</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rgb="FF8EA9DB"/>
  </sheetPr>
  <dimension ref="A1:H148"/>
  <sheetViews>
    <sheetView view="pageBreakPreview" topLeftCell="A103"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467</v>
      </c>
      <c r="G7" s="913"/>
    </row>
    <row r="8" spans="1:8" ht="19.5" customHeight="1" x14ac:dyDescent="0.2">
      <c r="A8" s="917" t="s">
        <v>146</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v>2025</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175</v>
      </c>
      <c r="G16" s="894"/>
      <c r="H16" s="3"/>
    </row>
    <row r="17" spans="1:8" ht="14.1" customHeight="1" x14ac:dyDescent="0.2">
      <c r="A17" s="877" t="s">
        <v>21</v>
      </c>
      <c r="B17" s="878"/>
      <c r="C17" s="878"/>
      <c r="D17" s="878"/>
      <c r="E17" s="879"/>
      <c r="F17" s="893" t="s">
        <v>148</v>
      </c>
      <c r="G17" s="894"/>
      <c r="H17" s="3"/>
    </row>
    <row r="18" spans="1:8" ht="14.1" customHeight="1" x14ac:dyDescent="0.2">
      <c r="A18" s="877" t="s">
        <v>1</v>
      </c>
      <c r="B18" s="878"/>
      <c r="C18" s="878"/>
      <c r="D18" s="878"/>
      <c r="E18" s="879"/>
      <c r="F18" s="887">
        <v>1717.2</v>
      </c>
      <c r="G18" s="888"/>
    </row>
    <row r="19" spans="1:8" ht="14.1" customHeight="1" x14ac:dyDescent="0.2">
      <c r="A19" s="882" t="s">
        <v>8</v>
      </c>
      <c r="B19" s="883"/>
      <c r="C19" s="883"/>
      <c r="D19" s="883"/>
      <c r="E19" s="884"/>
      <c r="F19" s="889">
        <v>45658</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f>'Quadro Resumo M² - CEGUA'!F8</f>
        <v>1</v>
      </c>
      <c r="G22" s="886"/>
    </row>
    <row r="23" spans="1:8" ht="12.75" customHeight="1" x14ac:dyDescent="0.2">
      <c r="A23" s="882" t="s">
        <v>25</v>
      </c>
      <c r="B23" s="883"/>
      <c r="C23" s="883"/>
      <c r="D23" s="883"/>
      <c r="E23" s="884"/>
      <c r="F23" s="895" t="s">
        <v>214</v>
      </c>
      <c r="G23" s="896"/>
    </row>
    <row r="24" spans="1:8" ht="25.5" customHeight="1" x14ac:dyDescent="0.2">
      <c r="A24" s="873" t="s">
        <v>469</v>
      </c>
      <c r="B24" s="874"/>
      <c r="C24" s="874"/>
      <c r="D24" s="874"/>
      <c r="E24" s="874"/>
      <c r="F24" s="874"/>
      <c r="G24" s="875"/>
    </row>
    <row r="25" spans="1:8" x14ac:dyDescent="0.2">
      <c r="A25" s="827" t="s">
        <v>2</v>
      </c>
      <c r="B25" s="828"/>
      <c r="C25" s="828"/>
      <c r="D25" s="828"/>
      <c r="E25" s="828"/>
      <c r="F25" s="829"/>
      <c r="G25" s="830"/>
    </row>
    <row r="26" spans="1:8" x14ac:dyDescent="0.2">
      <c r="A26" s="98">
        <v>1</v>
      </c>
      <c r="B26" s="876" t="s">
        <v>26</v>
      </c>
      <c r="C26" s="876"/>
      <c r="D26" s="876"/>
      <c r="E26" s="876"/>
      <c r="F26" s="79" t="s">
        <v>27</v>
      </c>
      <c r="G26" s="99" t="s">
        <v>3</v>
      </c>
    </row>
    <row r="27" spans="1:8" s="34" customFormat="1" x14ac:dyDescent="0.2">
      <c r="A27" s="100" t="s">
        <v>28</v>
      </c>
      <c r="B27" s="872" t="s">
        <v>153</v>
      </c>
      <c r="C27" s="872"/>
      <c r="D27" s="872"/>
      <c r="E27" s="872"/>
      <c r="F27" s="101">
        <v>1</v>
      </c>
      <c r="G27" s="102">
        <f>F18*F27</f>
        <v>1717.2</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0.4</v>
      </c>
      <c r="G29" s="102">
        <f>ROUND(F15*F29,2)</f>
        <v>607.20000000000005</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2324.4</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193.62</v>
      </c>
      <c r="H37" s="53"/>
    </row>
    <row r="38" spans="1:8" x14ac:dyDescent="0.2">
      <c r="A38" s="107" t="s">
        <v>29</v>
      </c>
      <c r="B38" s="854" t="s">
        <v>157</v>
      </c>
      <c r="C38" s="855"/>
      <c r="D38" s="855"/>
      <c r="E38" s="867"/>
      <c r="F38" s="108">
        <f>ROUND((1/11)+(1/11)/3, 3)</f>
        <v>0.121</v>
      </c>
      <c r="G38" s="8">
        <f>ROUND(G$34*F38,2)</f>
        <v>281.25</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160.62</v>
      </c>
      <c r="H40" s="4"/>
    </row>
    <row r="41" spans="1:8" x14ac:dyDescent="0.2">
      <c r="A41" s="842" t="s">
        <v>41</v>
      </c>
      <c r="B41" s="843"/>
      <c r="C41" s="843"/>
      <c r="D41" s="843"/>
      <c r="E41" s="841"/>
      <c r="F41" s="41">
        <f>ROUND(SUM(F39:F40),4)</f>
        <v>0.27339999999999998</v>
      </c>
      <c r="G41" s="111">
        <f>SUM(G37:G40)</f>
        <v>635.49</v>
      </c>
      <c r="H41" s="4">
        <f>ROUND(G34*F41,2)</f>
        <v>635.49</v>
      </c>
    </row>
    <row r="42" spans="1:8" x14ac:dyDescent="0.2">
      <c r="A42" s="835" t="s">
        <v>118</v>
      </c>
      <c r="B42" s="836"/>
      <c r="C42" s="836"/>
      <c r="D42" s="836"/>
      <c r="E42" s="836"/>
      <c r="F42" s="836"/>
      <c r="G42" s="837"/>
      <c r="H42" s="4">
        <f>SUM(G41,G34)</f>
        <v>2959.89</v>
      </c>
    </row>
    <row r="43" spans="1:8" x14ac:dyDescent="0.2">
      <c r="A43" s="42" t="s">
        <v>28</v>
      </c>
      <c r="B43" s="838" t="s">
        <v>42</v>
      </c>
      <c r="C43" s="839"/>
      <c r="D43" s="839"/>
      <c r="E43" s="869"/>
      <c r="F43" s="43">
        <v>0.2</v>
      </c>
      <c r="G43" s="22">
        <f>ROUND((G$34)*F43,2)</f>
        <v>464.88</v>
      </c>
      <c r="H43" s="4"/>
    </row>
    <row r="44" spans="1:8" x14ac:dyDescent="0.2">
      <c r="A44" s="36" t="s">
        <v>29</v>
      </c>
      <c r="B44" s="852" t="s">
        <v>43</v>
      </c>
      <c r="C44" s="853"/>
      <c r="D44" s="853"/>
      <c r="E44" s="866"/>
      <c r="F44" s="105">
        <v>2.5000000000000001E-2</v>
      </c>
      <c r="G44" s="112">
        <f>ROUND((G$34)*F44,2)</f>
        <v>58.11</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34.869999999999997</v>
      </c>
      <c r="H46" s="4"/>
    </row>
    <row r="47" spans="1:8" x14ac:dyDescent="0.2">
      <c r="A47" s="36" t="s">
        <v>32</v>
      </c>
      <c r="B47" s="852" t="s">
        <v>46</v>
      </c>
      <c r="C47" s="853"/>
      <c r="D47" s="853"/>
      <c r="E47" s="866"/>
      <c r="F47" s="105">
        <v>0.01</v>
      </c>
      <c r="G47" s="112">
        <f t="shared" si="0"/>
        <v>23.24</v>
      </c>
      <c r="H47" s="4"/>
    </row>
    <row r="48" spans="1:8" x14ac:dyDescent="0.2">
      <c r="A48" s="36" t="s">
        <v>34</v>
      </c>
      <c r="B48" s="852" t="s">
        <v>47</v>
      </c>
      <c r="C48" s="853"/>
      <c r="D48" s="853"/>
      <c r="E48" s="866"/>
      <c r="F48" s="105">
        <v>6.0000000000000001E-3</v>
      </c>
      <c r="G48" s="112">
        <f t="shared" si="0"/>
        <v>13.95</v>
      </c>
      <c r="H48" s="4"/>
    </row>
    <row r="49" spans="1:8" x14ac:dyDescent="0.2">
      <c r="A49" s="36" t="s">
        <v>48</v>
      </c>
      <c r="B49" s="852" t="s">
        <v>49</v>
      </c>
      <c r="C49" s="853"/>
      <c r="D49" s="853"/>
      <c r="E49" s="866"/>
      <c r="F49" s="105">
        <v>2E-3</v>
      </c>
      <c r="G49" s="112">
        <f t="shared" si="0"/>
        <v>4.6500000000000004</v>
      </c>
      <c r="H49" s="4"/>
    </row>
    <row r="50" spans="1:8" x14ac:dyDescent="0.2">
      <c r="A50" s="107" t="s">
        <v>50</v>
      </c>
      <c r="B50" s="854" t="s">
        <v>51</v>
      </c>
      <c r="C50" s="855"/>
      <c r="D50" s="855"/>
      <c r="E50" s="867"/>
      <c r="F50" s="108">
        <v>0.08</v>
      </c>
      <c r="G50" s="112">
        <f t="shared" si="0"/>
        <v>185.95</v>
      </c>
      <c r="H50" s="4"/>
    </row>
    <row r="51" spans="1:8" x14ac:dyDescent="0.2">
      <c r="A51" s="842" t="s">
        <v>52</v>
      </c>
      <c r="B51" s="843"/>
      <c r="C51" s="843"/>
      <c r="D51" s="843"/>
      <c r="E51" s="841"/>
      <c r="F51" s="41">
        <f>SUM(F43:F50)</f>
        <v>0.33800000000000002</v>
      </c>
      <c r="G51" s="111">
        <f>SUM(G43:G50)</f>
        <v>785.65</v>
      </c>
      <c r="H51" s="4">
        <f>ROUND(G34*F51,2)</f>
        <v>785.65</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29</v>
      </c>
      <c r="B54" s="858" t="s">
        <v>56</v>
      </c>
      <c r="C54" s="859"/>
      <c r="D54" s="859"/>
      <c r="E54" s="113">
        <f>20.76-1.39</f>
        <v>19.37</v>
      </c>
      <c r="F54" s="114">
        <v>26</v>
      </c>
      <c r="G54" s="102">
        <f>ROUND((E54*F54),2)</f>
        <v>503.62</v>
      </c>
      <c r="H54" s="35"/>
    </row>
    <row r="55" spans="1:8" s="34" customFormat="1" x14ac:dyDescent="0.2">
      <c r="A55" s="36" t="s">
        <v>30</v>
      </c>
      <c r="B55" s="858" t="s">
        <v>58</v>
      </c>
      <c r="C55" s="859"/>
      <c r="D55" s="859"/>
      <c r="E55" s="113">
        <v>144.68</v>
      </c>
      <c r="F55" s="114">
        <v>1</v>
      </c>
      <c r="G55" s="102">
        <f>ROUND((E55*F55),2)</f>
        <v>144.68</v>
      </c>
      <c r="H55" s="35"/>
    </row>
    <row r="56" spans="1:8" s="34" customFormat="1" x14ac:dyDescent="0.2">
      <c r="A56" s="36" t="s">
        <v>31</v>
      </c>
      <c r="B56" s="858" t="s">
        <v>149</v>
      </c>
      <c r="C56" s="859"/>
      <c r="D56" s="859"/>
      <c r="E56" s="113">
        <v>35.33</v>
      </c>
      <c r="F56" s="114">
        <v>1</v>
      </c>
      <c r="G56" s="102">
        <f>ROUND((E56*F56),2)</f>
        <v>35.33</v>
      </c>
      <c r="H56" s="35"/>
    </row>
    <row r="57" spans="1:8" s="34" customFormat="1" x14ac:dyDescent="0.2">
      <c r="A57" s="36" t="s">
        <v>32</v>
      </c>
      <c r="B57" s="858" t="s">
        <v>179</v>
      </c>
      <c r="C57" s="859"/>
      <c r="D57" s="859"/>
      <c r="E57" s="1264">
        <f>ROUND((F18*30%)*5%,2)*0</f>
        <v>0</v>
      </c>
      <c r="F57" s="114">
        <v>1</v>
      </c>
      <c r="G57" s="102">
        <f>ROUND((E57*F57),2)</f>
        <v>0</v>
      </c>
      <c r="H57" s="35"/>
    </row>
    <row r="58" spans="1:8" s="34" customFormat="1" x14ac:dyDescent="0.2">
      <c r="A58" s="36" t="s">
        <v>34</v>
      </c>
      <c r="B58" s="858" t="s">
        <v>150</v>
      </c>
      <c r="C58" s="859"/>
      <c r="D58" s="859"/>
      <c r="E58" s="113">
        <f>20.76</f>
        <v>20.76</v>
      </c>
      <c r="F58" s="114">
        <v>1</v>
      </c>
      <c r="G58" s="102">
        <f>ROUND((E58*F58)/12,2)</f>
        <v>1.73</v>
      </c>
      <c r="H58" s="35"/>
    </row>
    <row r="59" spans="1:8" s="34" customFormat="1" x14ac:dyDescent="0.2">
      <c r="A59" s="36" t="s">
        <v>48</v>
      </c>
      <c r="B59" s="864" t="s">
        <v>180</v>
      </c>
      <c r="C59" s="865"/>
      <c r="D59" s="865"/>
      <c r="E59" s="113">
        <f>15.96</f>
        <v>15.96</v>
      </c>
      <c r="F59" s="115">
        <v>1</v>
      </c>
      <c r="G59" s="116">
        <f>ROUND((E59*F59),2)</f>
        <v>15.96</v>
      </c>
      <c r="H59" s="35"/>
    </row>
    <row r="60" spans="1:8" s="34" customFormat="1" x14ac:dyDescent="0.2">
      <c r="A60" s="36" t="s">
        <v>50</v>
      </c>
      <c r="B60" s="858" t="s">
        <v>254</v>
      </c>
      <c r="C60" s="859"/>
      <c r="D60" s="859"/>
      <c r="E60" s="113">
        <v>300</v>
      </c>
      <c r="F60" s="114">
        <v>1</v>
      </c>
      <c r="G60" s="102">
        <f>ROUND((E60*F60),2)</f>
        <v>300</v>
      </c>
      <c r="H60" s="35"/>
    </row>
    <row r="61" spans="1:8" s="34" customFormat="1" x14ac:dyDescent="0.2">
      <c r="A61" s="100" t="s">
        <v>151</v>
      </c>
      <c r="B61" s="858" t="s">
        <v>152</v>
      </c>
      <c r="C61" s="859"/>
      <c r="D61" s="859"/>
      <c r="E61" s="113">
        <v>0</v>
      </c>
      <c r="F61" s="114">
        <v>1</v>
      </c>
      <c r="G61" s="117">
        <f>ROUND((E61*F61),2)</f>
        <v>0</v>
      </c>
      <c r="H61" s="35"/>
    </row>
    <row r="62" spans="1:8" s="34" customFormat="1" x14ac:dyDescent="0.2">
      <c r="A62" s="36" t="s">
        <v>414</v>
      </c>
      <c r="B62" s="862" t="s">
        <v>152</v>
      </c>
      <c r="C62" s="863"/>
      <c r="D62" s="863"/>
      <c r="E62" s="118">
        <v>0</v>
      </c>
      <c r="F62" s="114">
        <v>1</v>
      </c>
      <c r="G62" s="102">
        <v>0</v>
      </c>
      <c r="H62" s="35"/>
    </row>
    <row r="63" spans="1:8" x14ac:dyDescent="0.2">
      <c r="A63" s="815" t="s">
        <v>60</v>
      </c>
      <c r="B63" s="816"/>
      <c r="C63" s="816"/>
      <c r="D63" s="816"/>
      <c r="E63" s="816"/>
      <c r="F63" s="817"/>
      <c r="G63" s="104">
        <f>SUM(G53:G62)</f>
        <v>1001.32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635.49</v>
      </c>
      <c r="H65" s="4"/>
    </row>
    <row r="66" spans="1:8" x14ac:dyDescent="0.2">
      <c r="A66" s="119" t="s">
        <v>64</v>
      </c>
      <c r="B66" s="806" t="s">
        <v>128</v>
      </c>
      <c r="C66" s="807"/>
      <c r="D66" s="807"/>
      <c r="E66" s="807"/>
      <c r="F66" s="18">
        <f>F51</f>
        <v>0.33800000000000002</v>
      </c>
      <c r="G66" s="120">
        <f>G51</f>
        <v>785.65</v>
      </c>
      <c r="H66" s="4"/>
    </row>
    <row r="67" spans="1:8" x14ac:dyDescent="0.2">
      <c r="A67" s="119" t="s">
        <v>65</v>
      </c>
      <c r="B67" s="806" t="s">
        <v>66</v>
      </c>
      <c r="C67" s="807"/>
      <c r="D67" s="807"/>
      <c r="E67" s="807"/>
      <c r="F67" s="808"/>
      <c r="G67" s="120">
        <f>G63</f>
        <v>1001.32</v>
      </c>
      <c r="H67" s="4"/>
    </row>
    <row r="68" spans="1:8" x14ac:dyDescent="0.2">
      <c r="A68" s="815" t="s">
        <v>67</v>
      </c>
      <c r="B68" s="816"/>
      <c r="C68" s="816"/>
      <c r="D68" s="816"/>
      <c r="E68" s="816"/>
      <c r="F68" s="817"/>
      <c r="G68" s="104">
        <f>SUM(G65:G67)</f>
        <v>2422.46</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EPI''s'!E17</f>
        <v>0</v>
      </c>
      <c r="F108" s="24">
        <v>1</v>
      </c>
      <c r="G108" s="102">
        <f>ROUND(SUM(C108:E108),2)*F108</f>
        <v>0</v>
      </c>
      <c r="H108" s="4"/>
    </row>
    <row r="109" spans="1:8" s="34" customFormat="1" x14ac:dyDescent="0.2">
      <c r="A109" s="36" t="s">
        <v>29</v>
      </c>
      <c r="B109" s="846" t="str">
        <f>'Uniformes e EPI''s'!A19</f>
        <v>EPI's</v>
      </c>
      <c r="C109" s="801"/>
      <c r="D109" s="801"/>
      <c r="E109" s="44">
        <f>'Uniformes e EPI''s'!D39</f>
        <v>0</v>
      </c>
      <c r="F109" s="46">
        <v>1</v>
      </c>
      <c r="G109" s="102">
        <f>ROUND((E109*F109),2)</f>
        <v>0</v>
      </c>
      <c r="H109" s="35"/>
    </row>
    <row r="110" spans="1:8" s="34" customFormat="1" x14ac:dyDescent="0.2">
      <c r="A110" s="36" t="s">
        <v>30</v>
      </c>
      <c r="B110" s="800" t="s">
        <v>59</v>
      </c>
      <c r="C110" s="801"/>
      <c r="D110" s="801"/>
      <c r="E110" s="44">
        <v>0</v>
      </c>
      <c r="F110" s="47">
        <v>1</v>
      </c>
      <c r="G110" s="102">
        <f t="shared" ref="G110:G115" si="3">ROUND((E110*F110),2)</f>
        <v>0</v>
      </c>
      <c r="H110" s="35"/>
    </row>
    <row r="111" spans="1:8" s="34" customFormat="1" x14ac:dyDescent="0.2">
      <c r="A111" s="166" t="s">
        <v>31</v>
      </c>
      <c r="B111" s="800" t="s">
        <v>59</v>
      </c>
      <c r="C111" s="801"/>
      <c r="D111" s="801"/>
      <c r="E111" s="44">
        <v>0</v>
      </c>
      <c r="F111" s="47">
        <v>1</v>
      </c>
      <c r="G111" s="102">
        <f t="shared" si="3"/>
        <v>0</v>
      </c>
      <c r="H111" s="35"/>
    </row>
    <row r="112" spans="1:8" s="34" customFormat="1" x14ac:dyDescent="0.2">
      <c r="A112" s="36" t="s">
        <v>32</v>
      </c>
      <c r="B112" s="800" t="s">
        <v>59</v>
      </c>
      <c r="C112" s="801"/>
      <c r="D112" s="801"/>
      <c r="E112" s="44">
        <v>0</v>
      </c>
      <c r="F112" s="47">
        <v>1</v>
      </c>
      <c r="G112" s="102">
        <f t="shared" si="3"/>
        <v>0</v>
      </c>
      <c r="H112" s="35"/>
    </row>
    <row r="113" spans="1:8" s="34" customFormat="1" x14ac:dyDescent="0.2">
      <c r="A113" s="36" t="s">
        <v>34</v>
      </c>
      <c r="B113" s="800" t="s">
        <v>59</v>
      </c>
      <c r="C113" s="801"/>
      <c r="D113" s="801"/>
      <c r="E113" s="44">
        <v>0</v>
      </c>
      <c r="F113" s="47">
        <v>1</v>
      </c>
      <c r="G113" s="102">
        <f t="shared" si="3"/>
        <v>0</v>
      </c>
      <c r="H113" s="35"/>
    </row>
    <row r="114" spans="1:8" s="34" customFormat="1" x14ac:dyDescent="0.2">
      <c r="A114" s="166" t="s">
        <v>48</v>
      </c>
      <c r="B114" s="800" t="s">
        <v>59</v>
      </c>
      <c r="C114" s="801"/>
      <c r="D114" s="801"/>
      <c r="E114" s="44">
        <v>0</v>
      </c>
      <c r="F114" s="47">
        <v>1</v>
      </c>
      <c r="G114" s="102">
        <f t="shared" si="3"/>
        <v>0</v>
      </c>
      <c r="H114" s="35"/>
    </row>
    <row r="115" spans="1:8" s="34" customFormat="1" x14ac:dyDescent="0.2">
      <c r="A115" s="36" t="s">
        <v>50</v>
      </c>
      <c r="B115" s="847" t="s">
        <v>59</v>
      </c>
      <c r="C115" s="848"/>
      <c r="D115" s="848"/>
      <c r="E115" s="44">
        <v>0</v>
      </c>
      <c r="F115" s="47">
        <v>1</v>
      </c>
      <c r="G115" s="102">
        <f t="shared" si="3"/>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0.03</v>
      </c>
      <c r="G124" s="106">
        <f ca="1">ROUND(G$139*F124,2)</f>
        <v>146.81</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0.03</v>
      </c>
      <c r="G127" s="128">
        <f ca="1">SUM(G122:G126)</f>
        <v>146.81</v>
      </c>
      <c r="H127" s="4">
        <f ca="1">ROUND(G139*F127,2)</f>
        <v>146.81</v>
      </c>
    </row>
    <row r="128" spans="1:8" x14ac:dyDescent="0.2">
      <c r="A128" s="815" t="s">
        <v>104</v>
      </c>
      <c r="B128" s="816"/>
      <c r="C128" s="816"/>
      <c r="D128" s="816"/>
      <c r="E128" s="816"/>
      <c r="F128" s="23">
        <f>SUM(F119,F120,F127)</f>
        <v>0.03</v>
      </c>
      <c r="G128" s="124">
        <f ca="1">SUM(G119:G126)</f>
        <v>146.81</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2324.4</v>
      </c>
      <c r="H130" s="4"/>
    </row>
    <row r="131" spans="1:8" x14ac:dyDescent="0.2">
      <c r="A131" s="119" t="s">
        <v>29</v>
      </c>
      <c r="B131" s="806" t="s">
        <v>107</v>
      </c>
      <c r="C131" s="807"/>
      <c r="D131" s="807"/>
      <c r="E131" s="807"/>
      <c r="F131" s="808"/>
      <c r="G131" s="120">
        <f>G68</f>
        <v>2422.46</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4746.8599999999997</v>
      </c>
      <c r="H135" s="4"/>
    </row>
    <row r="136" spans="1:8" x14ac:dyDescent="0.2">
      <c r="A136" s="119" t="s">
        <v>34</v>
      </c>
      <c r="B136" s="812" t="s">
        <v>112</v>
      </c>
      <c r="C136" s="813"/>
      <c r="D136" s="813"/>
      <c r="E136" s="813"/>
      <c r="F136" s="814"/>
      <c r="G136" s="120">
        <f ca="1">G128</f>
        <v>146.81</v>
      </c>
      <c r="H136" s="4"/>
    </row>
    <row r="137" spans="1:8" x14ac:dyDescent="0.2">
      <c r="A137" s="815" t="s">
        <v>113</v>
      </c>
      <c r="B137" s="816"/>
      <c r="C137" s="816"/>
      <c r="D137" s="816"/>
      <c r="E137" s="816"/>
      <c r="F137" s="817"/>
      <c r="G137" s="104">
        <f ca="1">SUM(G135:G136)</f>
        <v>4893.67</v>
      </c>
      <c r="H137" s="4">
        <f ca="1">SUM(G130:G136)-G135</f>
        <v>4893.67</v>
      </c>
    </row>
    <row r="138" spans="1:8" x14ac:dyDescent="0.2">
      <c r="A138" s="818" t="s">
        <v>13</v>
      </c>
      <c r="B138" s="819"/>
      <c r="C138" s="819"/>
      <c r="D138" s="819"/>
      <c r="E138" s="819"/>
      <c r="F138" s="819"/>
      <c r="G138" s="820"/>
      <c r="H138" s="4"/>
    </row>
    <row r="139" spans="1:8" x14ac:dyDescent="0.2">
      <c r="A139" s="1298"/>
      <c r="B139" s="26" t="s">
        <v>114</v>
      </c>
      <c r="C139" s="26"/>
      <c r="D139" s="26"/>
      <c r="E139" s="26"/>
      <c r="F139" s="27"/>
      <c r="G139" s="1299">
        <f ca="1">G137</f>
        <v>4893.67</v>
      </c>
      <c r="H139" s="4"/>
    </row>
    <row r="140" spans="1:8" x14ac:dyDescent="0.2">
      <c r="A140" s="1300"/>
      <c r="B140" s="1301" t="s">
        <v>115</v>
      </c>
      <c r="C140" s="1301"/>
      <c r="D140" s="1301"/>
      <c r="E140" s="1301"/>
      <c r="F140" s="1302">
        <f>F21</f>
        <v>1</v>
      </c>
      <c r="G140" s="1303">
        <f ca="1">G139*F140</f>
        <v>4893.67</v>
      </c>
      <c r="H140" s="4"/>
    </row>
    <row r="141" spans="1:8" x14ac:dyDescent="0.2">
      <c r="F141" s="6"/>
    </row>
    <row r="148" spans="7:7" x14ac:dyDescent="0.2">
      <c r="G148" s="32"/>
    </row>
  </sheetData>
  <mergeCells count="149">
    <mergeCell ref="A51:E51"/>
    <mergeCell ref="A2:C2"/>
    <mergeCell ref="A1:G1"/>
    <mergeCell ref="F2:G2"/>
    <mergeCell ref="A3:G4"/>
    <mergeCell ref="A5:G5"/>
    <mergeCell ref="A6:E6"/>
    <mergeCell ref="F6:G6"/>
    <mergeCell ref="B49:E49"/>
    <mergeCell ref="B50:E50"/>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 ref="F18:G18"/>
    <mergeCell ref="A19:E19"/>
    <mergeCell ref="F19:G19"/>
    <mergeCell ref="A14:G14"/>
    <mergeCell ref="A15:E15"/>
    <mergeCell ref="F15:G15"/>
    <mergeCell ref="A16:E16"/>
    <mergeCell ref="F16:G16"/>
    <mergeCell ref="A23:E23"/>
    <mergeCell ref="F23:G23"/>
    <mergeCell ref="A24:G24"/>
    <mergeCell ref="A25:G25"/>
    <mergeCell ref="B26:E26"/>
    <mergeCell ref="A20:E20"/>
    <mergeCell ref="F20:G20"/>
    <mergeCell ref="A21:E21"/>
    <mergeCell ref="F21:G21"/>
    <mergeCell ref="A22:E22"/>
    <mergeCell ref="F22:G22"/>
    <mergeCell ref="B33:E33"/>
    <mergeCell ref="A34:F34"/>
    <mergeCell ref="A35:G35"/>
    <mergeCell ref="A36:G36"/>
    <mergeCell ref="B37:E37"/>
    <mergeCell ref="B27:E27"/>
    <mergeCell ref="B28:E28"/>
    <mergeCell ref="B29:E29"/>
    <mergeCell ref="B31:E31"/>
    <mergeCell ref="B32:E32"/>
    <mergeCell ref="B30:E30"/>
    <mergeCell ref="B44:E44"/>
    <mergeCell ref="B45:E45"/>
    <mergeCell ref="B46:E46"/>
    <mergeCell ref="B47:E47"/>
    <mergeCell ref="B48:E48"/>
    <mergeCell ref="B38:E38"/>
    <mergeCell ref="B39:E39"/>
    <mergeCell ref="A41:E41"/>
    <mergeCell ref="A42:G42"/>
    <mergeCell ref="B43:E43"/>
    <mergeCell ref="B57:D57"/>
    <mergeCell ref="B58:D58"/>
    <mergeCell ref="A63:F63"/>
    <mergeCell ref="A64:G64"/>
    <mergeCell ref="A52:G52"/>
    <mergeCell ref="B53:D53"/>
    <mergeCell ref="B54:D54"/>
    <mergeCell ref="B55:D55"/>
    <mergeCell ref="B56:D56"/>
    <mergeCell ref="B62:D62"/>
    <mergeCell ref="B61:D61"/>
    <mergeCell ref="B60:D60"/>
    <mergeCell ref="B59:D59"/>
    <mergeCell ref="B71:E71"/>
    <mergeCell ref="B72:E72"/>
    <mergeCell ref="B73:E73"/>
    <mergeCell ref="B74:E74"/>
    <mergeCell ref="B75:E75"/>
    <mergeCell ref="B65:E65"/>
    <mergeCell ref="B66:E66"/>
    <mergeCell ref="B67:F67"/>
    <mergeCell ref="A68:F68"/>
    <mergeCell ref="A69:G69"/>
    <mergeCell ref="B81:E81"/>
    <mergeCell ref="B82:E82"/>
    <mergeCell ref="B83:E83"/>
    <mergeCell ref="B84:E84"/>
    <mergeCell ref="B85:E85"/>
    <mergeCell ref="B76:E76"/>
    <mergeCell ref="A77:E77"/>
    <mergeCell ref="A78:G78"/>
    <mergeCell ref="A79:G79"/>
    <mergeCell ref="B80:E80"/>
    <mergeCell ref="B91:E91"/>
    <mergeCell ref="A92:E92"/>
    <mergeCell ref="A93:G93"/>
    <mergeCell ref="B94:E94"/>
    <mergeCell ref="A86:E86"/>
    <mergeCell ref="A87:G87"/>
    <mergeCell ref="B88:E88"/>
    <mergeCell ref="B89:E89"/>
    <mergeCell ref="B90:E90"/>
    <mergeCell ref="B104:E104"/>
    <mergeCell ref="A106:F106"/>
    <mergeCell ref="A107:G107"/>
    <mergeCell ref="A117:G117"/>
    <mergeCell ref="A96:E96"/>
    <mergeCell ref="A101:G101"/>
    <mergeCell ref="B102:E102"/>
    <mergeCell ref="B103:E103"/>
    <mergeCell ref="A97:G97"/>
    <mergeCell ref="B98:E98"/>
    <mergeCell ref="A100:E100"/>
    <mergeCell ref="A116:F116"/>
    <mergeCell ref="B105:E105"/>
    <mergeCell ref="B108:D108"/>
    <mergeCell ref="B109:D109"/>
    <mergeCell ref="B110:D110"/>
    <mergeCell ref="B111:D111"/>
    <mergeCell ref="B112:D112"/>
    <mergeCell ref="B113:D113"/>
    <mergeCell ref="B115:D115"/>
    <mergeCell ref="B114:D114"/>
    <mergeCell ref="B125:E125"/>
    <mergeCell ref="B95:E95"/>
    <mergeCell ref="B99:E99"/>
    <mergeCell ref="B134:F134"/>
    <mergeCell ref="B135:F135"/>
    <mergeCell ref="B136:F136"/>
    <mergeCell ref="A137:F137"/>
    <mergeCell ref="A138:G138"/>
    <mergeCell ref="B119:E119"/>
    <mergeCell ref="B120:E120"/>
    <mergeCell ref="B121:E121"/>
    <mergeCell ref="B122:E122"/>
    <mergeCell ref="B123:E123"/>
    <mergeCell ref="B126:E126"/>
    <mergeCell ref="B127:E127"/>
    <mergeCell ref="A128:E128"/>
    <mergeCell ref="A129:G129"/>
    <mergeCell ref="B130:F130"/>
    <mergeCell ref="B131:F131"/>
    <mergeCell ref="B132:F132"/>
    <mergeCell ref="B133:F133"/>
    <mergeCell ref="B124:E124"/>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sheetPr>
  <dimension ref="A1:H148"/>
  <sheetViews>
    <sheetView view="pageBreakPreview" topLeftCell="A34"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467</v>
      </c>
      <c r="G7" s="913"/>
    </row>
    <row r="8" spans="1:8" ht="19.5" customHeight="1" x14ac:dyDescent="0.2">
      <c r="A8" s="917" t="s">
        <v>215</v>
      </c>
      <c r="B8" s="918"/>
      <c r="C8" s="918"/>
      <c r="D8" s="918"/>
      <c r="E8" s="918"/>
      <c r="F8" s="918"/>
      <c r="G8" s="919"/>
    </row>
    <row r="9" spans="1:8" ht="19.5" customHeight="1" x14ac:dyDescent="0.2">
      <c r="A9" s="920"/>
      <c r="B9" s="921"/>
      <c r="C9" s="921"/>
      <c r="D9" s="921"/>
      <c r="E9" s="921"/>
      <c r="F9" s="921"/>
      <c r="G9" s="922"/>
    </row>
    <row r="10" spans="1:8" ht="14.1" customHeight="1" x14ac:dyDescent="0.2">
      <c r="A10" s="877" t="s">
        <v>462</v>
      </c>
      <c r="B10" s="878"/>
      <c r="C10" s="878"/>
      <c r="D10" s="878"/>
      <c r="E10" s="879"/>
      <c r="F10" s="914" t="s">
        <v>461</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216</v>
      </c>
      <c r="G16" s="894"/>
      <c r="H16" s="3"/>
    </row>
    <row r="17" spans="1:8" ht="14.1" customHeight="1" x14ac:dyDescent="0.2">
      <c r="A17" s="877" t="s">
        <v>21</v>
      </c>
      <c r="B17" s="878"/>
      <c r="C17" s="878"/>
      <c r="D17" s="878"/>
      <c r="E17" s="879"/>
      <c r="F17" s="893" t="s">
        <v>218</v>
      </c>
      <c r="G17" s="894"/>
      <c r="H17" s="3"/>
    </row>
    <row r="18" spans="1:8" ht="14.1" customHeight="1" x14ac:dyDescent="0.2">
      <c r="A18" s="877" t="s">
        <v>1</v>
      </c>
      <c r="B18" s="878"/>
      <c r="C18" s="878"/>
      <c r="D18" s="878"/>
      <c r="E18" s="879"/>
      <c r="F18" s="887">
        <v>1732.39</v>
      </c>
      <c r="G18" s="888"/>
    </row>
    <row r="19" spans="1:8" ht="14.1" customHeight="1" x14ac:dyDescent="0.2">
      <c r="A19" s="882" t="s">
        <v>8</v>
      </c>
      <c r="B19" s="883"/>
      <c r="C19" s="883"/>
      <c r="D19" s="883"/>
      <c r="E19" s="884"/>
      <c r="F19" s="889">
        <v>45717</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1</v>
      </c>
      <c r="G22" s="886"/>
    </row>
    <row r="23" spans="1:8" ht="12.75" customHeight="1" x14ac:dyDescent="0.2">
      <c r="A23" s="882" t="s">
        <v>25</v>
      </c>
      <c r="B23" s="883"/>
      <c r="C23" s="883"/>
      <c r="D23" s="883"/>
      <c r="E23" s="884"/>
      <c r="F23" s="895" t="s">
        <v>214</v>
      </c>
      <c r="G23" s="896"/>
    </row>
    <row r="24" spans="1:8" ht="25.5" customHeight="1" x14ac:dyDescent="0.2">
      <c r="A24" s="923" t="s">
        <v>469</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130" t="s">
        <v>27</v>
      </c>
      <c r="G26" s="99" t="s">
        <v>3</v>
      </c>
    </row>
    <row r="27" spans="1:8" s="34" customFormat="1" x14ac:dyDescent="0.2">
      <c r="A27" s="100" t="s">
        <v>28</v>
      </c>
      <c r="B27" s="872" t="s">
        <v>153</v>
      </c>
      <c r="C27" s="872"/>
      <c r="D27" s="872"/>
      <c r="E27" s="872"/>
      <c r="F27" s="101">
        <v>1</v>
      </c>
      <c r="G27" s="102">
        <f>F18*F27</f>
        <v>1732.39</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0.2</v>
      </c>
      <c r="G29" s="102">
        <f>ROUND(F15*F29,2)</f>
        <v>303.60000000000002</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2035.99</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169.6</v>
      </c>
      <c r="H37" s="53"/>
    </row>
    <row r="38" spans="1:8" x14ac:dyDescent="0.2">
      <c r="A38" s="107" t="s">
        <v>29</v>
      </c>
      <c r="B38" s="854" t="s">
        <v>157</v>
      </c>
      <c r="C38" s="855"/>
      <c r="D38" s="855"/>
      <c r="E38" s="867"/>
      <c r="F38" s="108">
        <f>ROUND((1/11)+(1/11)/3, 3)</f>
        <v>0.121</v>
      </c>
      <c r="G38" s="8">
        <f>ROUND(G$34*F38,2)</f>
        <v>246.35</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140.69</v>
      </c>
      <c r="H40" s="4"/>
    </row>
    <row r="41" spans="1:8" x14ac:dyDescent="0.2">
      <c r="A41" s="842" t="s">
        <v>41</v>
      </c>
      <c r="B41" s="843"/>
      <c r="C41" s="843"/>
      <c r="D41" s="843"/>
      <c r="E41" s="841"/>
      <c r="F41" s="41">
        <f>ROUND(SUM(F39:F40),4)</f>
        <v>0.27339999999999998</v>
      </c>
      <c r="G41" s="111">
        <f>SUM(G37:G40)</f>
        <v>556.64</v>
      </c>
      <c r="H41" s="4">
        <f>ROUND(G34*F41,2)</f>
        <v>556.64</v>
      </c>
    </row>
    <row r="42" spans="1:8" x14ac:dyDescent="0.2">
      <c r="A42" s="835" t="s">
        <v>118</v>
      </c>
      <c r="B42" s="836"/>
      <c r="C42" s="836"/>
      <c r="D42" s="836"/>
      <c r="E42" s="836"/>
      <c r="F42" s="836"/>
      <c r="G42" s="837"/>
      <c r="H42" s="4">
        <f>SUM(G41,G34)</f>
        <v>2592.63</v>
      </c>
    </row>
    <row r="43" spans="1:8" x14ac:dyDescent="0.2">
      <c r="A43" s="42" t="s">
        <v>28</v>
      </c>
      <c r="B43" s="838" t="s">
        <v>42</v>
      </c>
      <c r="C43" s="839"/>
      <c r="D43" s="839"/>
      <c r="E43" s="869"/>
      <c r="F43" s="43">
        <v>0.2</v>
      </c>
      <c r="G43" s="22">
        <f>ROUND((G$34)*F43,2)</f>
        <v>407.2</v>
      </c>
      <c r="H43" s="4"/>
    </row>
    <row r="44" spans="1:8" x14ac:dyDescent="0.2">
      <c r="A44" s="36" t="s">
        <v>29</v>
      </c>
      <c r="B44" s="852" t="s">
        <v>43</v>
      </c>
      <c r="C44" s="853"/>
      <c r="D44" s="853"/>
      <c r="E44" s="866"/>
      <c r="F44" s="105">
        <v>2.5000000000000001E-2</v>
      </c>
      <c r="G44" s="112">
        <f>ROUND((G$34)*F44,2)</f>
        <v>50.9</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30.54</v>
      </c>
      <c r="H46" s="4"/>
    </row>
    <row r="47" spans="1:8" x14ac:dyDescent="0.2">
      <c r="A47" s="36" t="s">
        <v>32</v>
      </c>
      <c r="B47" s="852" t="s">
        <v>46</v>
      </c>
      <c r="C47" s="853"/>
      <c r="D47" s="853"/>
      <c r="E47" s="866"/>
      <c r="F47" s="105">
        <v>0.01</v>
      </c>
      <c r="G47" s="112">
        <f t="shared" si="0"/>
        <v>20.36</v>
      </c>
      <c r="H47" s="4"/>
    </row>
    <row r="48" spans="1:8" x14ac:dyDescent="0.2">
      <c r="A48" s="36" t="s">
        <v>34</v>
      </c>
      <c r="B48" s="852" t="s">
        <v>47</v>
      </c>
      <c r="C48" s="853"/>
      <c r="D48" s="853"/>
      <c r="E48" s="866"/>
      <c r="F48" s="105">
        <v>6.0000000000000001E-3</v>
      </c>
      <c r="G48" s="112">
        <f t="shared" si="0"/>
        <v>12.22</v>
      </c>
      <c r="H48" s="4"/>
    </row>
    <row r="49" spans="1:8" x14ac:dyDescent="0.2">
      <c r="A49" s="36" t="s">
        <v>48</v>
      </c>
      <c r="B49" s="852" t="s">
        <v>49</v>
      </c>
      <c r="C49" s="853"/>
      <c r="D49" s="853"/>
      <c r="E49" s="866"/>
      <c r="F49" s="105">
        <v>2E-3</v>
      </c>
      <c r="G49" s="112">
        <f t="shared" si="0"/>
        <v>4.07</v>
      </c>
      <c r="H49" s="4"/>
    </row>
    <row r="50" spans="1:8" x14ac:dyDescent="0.2">
      <c r="A50" s="107" t="s">
        <v>50</v>
      </c>
      <c r="B50" s="854" t="s">
        <v>51</v>
      </c>
      <c r="C50" s="855"/>
      <c r="D50" s="855"/>
      <c r="E50" s="867"/>
      <c r="F50" s="108">
        <v>0.08</v>
      </c>
      <c r="G50" s="112">
        <f t="shared" si="0"/>
        <v>162.88</v>
      </c>
      <c r="H50" s="4"/>
    </row>
    <row r="51" spans="1:8" x14ac:dyDescent="0.2">
      <c r="A51" s="842" t="s">
        <v>52</v>
      </c>
      <c r="B51" s="843"/>
      <c r="C51" s="843"/>
      <c r="D51" s="843"/>
      <c r="E51" s="841"/>
      <c r="F51" s="41">
        <f>SUM(F43:F50)</f>
        <v>0.33800000000000002</v>
      </c>
      <c r="G51" s="111">
        <f>SUM(G43:G50)</f>
        <v>688.17</v>
      </c>
      <c r="H51" s="4">
        <f>ROUND(G34*F51,2)</f>
        <v>688.16</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29</v>
      </c>
      <c r="B54" s="858" t="s">
        <v>56</v>
      </c>
      <c r="C54" s="859"/>
      <c r="D54" s="859"/>
      <c r="E54" s="113">
        <f>(12.5-1.4)</f>
        <v>11.1</v>
      </c>
      <c r="F54" s="114">
        <v>26</v>
      </c>
      <c r="G54" s="102">
        <f>ROUND((E54*F54),2)</f>
        <v>288.60000000000002</v>
      </c>
      <c r="H54" s="35"/>
    </row>
    <row r="55" spans="1:8" s="34" customFormat="1" x14ac:dyDescent="0.2">
      <c r="A55" s="36" t="s">
        <v>30</v>
      </c>
      <c r="B55" s="858" t="s">
        <v>58</v>
      </c>
      <c r="C55" s="859"/>
      <c r="D55" s="859"/>
      <c r="E55" s="113">
        <f>138.6</f>
        <v>138.6</v>
      </c>
      <c r="F55" s="114">
        <v>1</v>
      </c>
      <c r="G55" s="102">
        <f>ROUND((E55*F55),2)</f>
        <v>138.6</v>
      </c>
      <c r="H55" s="35"/>
    </row>
    <row r="56" spans="1:8" s="34" customFormat="1" x14ac:dyDescent="0.2">
      <c r="A56" s="36" t="s">
        <v>31</v>
      </c>
      <c r="B56" s="858" t="s">
        <v>255</v>
      </c>
      <c r="C56" s="859"/>
      <c r="D56" s="859"/>
      <c r="E56" s="113">
        <v>34.94</v>
      </c>
      <c r="F56" s="114">
        <v>1</v>
      </c>
      <c r="G56" s="102">
        <f>ROUND((E56*F56),2)</f>
        <v>34.94</v>
      </c>
      <c r="H56" s="35"/>
    </row>
    <row r="57" spans="1:8" s="34" customFormat="1" x14ac:dyDescent="0.2">
      <c r="A57" s="36" t="s">
        <v>32</v>
      </c>
      <c r="B57" s="858" t="s">
        <v>179</v>
      </c>
      <c r="C57" s="859"/>
      <c r="D57" s="859"/>
      <c r="E57" s="1264">
        <f>ROUND((F18*30%)*5%,2)*0</f>
        <v>0</v>
      </c>
      <c r="F57" s="114">
        <v>1</v>
      </c>
      <c r="G57" s="102">
        <f>ROUND((E57*F57),2)</f>
        <v>0</v>
      </c>
      <c r="H57" s="35"/>
    </row>
    <row r="58" spans="1:8" s="34" customFormat="1" x14ac:dyDescent="0.2">
      <c r="A58" s="36" t="s">
        <v>34</v>
      </c>
      <c r="B58" s="858" t="s">
        <v>217</v>
      </c>
      <c r="C58" s="859"/>
      <c r="D58" s="859"/>
      <c r="E58" s="113">
        <f>ROUND(((F18/220)*8)*1.5,2)</f>
        <v>94.49</v>
      </c>
      <c r="F58" s="114">
        <v>1</v>
      </c>
      <c r="G58" s="102">
        <f>ROUND((E58*F58)/12,2)</f>
        <v>7.87</v>
      </c>
      <c r="H58" s="35"/>
    </row>
    <row r="59" spans="1:8" s="34" customFormat="1" x14ac:dyDescent="0.2">
      <c r="A59" s="36" t="s">
        <v>48</v>
      </c>
      <c r="B59" s="864" t="s">
        <v>180</v>
      </c>
      <c r="C59" s="865"/>
      <c r="D59" s="865"/>
      <c r="E59" s="113">
        <f>9.31</f>
        <v>9.31</v>
      </c>
      <c r="F59" s="115">
        <v>1</v>
      </c>
      <c r="G59" s="116">
        <f>ROUND((E59*F59),2)</f>
        <v>9.31</v>
      </c>
      <c r="H59" s="35"/>
    </row>
    <row r="60" spans="1:8" s="34" customFormat="1" x14ac:dyDescent="0.2">
      <c r="A60" s="36" t="s">
        <v>50</v>
      </c>
      <c r="B60" s="858" t="s">
        <v>152</v>
      </c>
      <c r="C60" s="859"/>
      <c r="D60" s="859"/>
      <c r="E60" s="113">
        <v>0</v>
      </c>
      <c r="F60" s="114">
        <v>1</v>
      </c>
      <c r="G60" s="102">
        <f>ROUND((E60*F60)/12,2)</f>
        <v>0</v>
      </c>
      <c r="H60" s="35"/>
    </row>
    <row r="61" spans="1:8" s="34" customFormat="1" x14ac:dyDescent="0.2">
      <c r="A61" s="100" t="s">
        <v>151</v>
      </c>
      <c r="B61" s="858" t="s">
        <v>152</v>
      </c>
      <c r="C61" s="859"/>
      <c r="D61" s="859"/>
      <c r="E61" s="113">
        <v>0</v>
      </c>
      <c r="F61" s="114">
        <v>1</v>
      </c>
      <c r="G61" s="117">
        <f>ROUND((E61*F61),2)</f>
        <v>0</v>
      </c>
      <c r="H61" s="35"/>
    </row>
    <row r="62" spans="1:8" s="34" customFormat="1" x14ac:dyDescent="0.2">
      <c r="A62" s="36" t="s">
        <v>414</v>
      </c>
      <c r="B62" s="862" t="s">
        <v>152</v>
      </c>
      <c r="C62" s="863"/>
      <c r="D62" s="863"/>
      <c r="E62" s="118">
        <v>0</v>
      </c>
      <c r="F62" s="114">
        <v>1</v>
      </c>
      <c r="G62" s="102">
        <v>0</v>
      </c>
      <c r="H62" s="35"/>
    </row>
    <row r="63" spans="1:8" x14ac:dyDescent="0.2">
      <c r="A63" s="815" t="s">
        <v>60</v>
      </c>
      <c r="B63" s="816"/>
      <c r="C63" s="816"/>
      <c r="D63" s="816"/>
      <c r="E63" s="816"/>
      <c r="F63" s="817"/>
      <c r="G63" s="104">
        <f>SUM(G53:G62)</f>
        <v>479.32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556.64</v>
      </c>
      <c r="H65" s="4"/>
    </row>
    <row r="66" spans="1:8" x14ac:dyDescent="0.2">
      <c r="A66" s="119" t="s">
        <v>64</v>
      </c>
      <c r="B66" s="806" t="s">
        <v>128</v>
      </c>
      <c r="C66" s="807"/>
      <c r="D66" s="807"/>
      <c r="E66" s="807"/>
      <c r="F66" s="18">
        <f>F51</f>
        <v>0.33800000000000002</v>
      </c>
      <c r="G66" s="120">
        <f>G51</f>
        <v>688.17</v>
      </c>
      <c r="H66" s="4"/>
    </row>
    <row r="67" spans="1:8" x14ac:dyDescent="0.2">
      <c r="A67" s="119" t="s">
        <v>65</v>
      </c>
      <c r="B67" s="806" t="s">
        <v>66</v>
      </c>
      <c r="C67" s="807"/>
      <c r="D67" s="807"/>
      <c r="E67" s="807"/>
      <c r="F67" s="808"/>
      <c r="G67" s="120">
        <f>G63</f>
        <v>479.32</v>
      </c>
      <c r="H67" s="4"/>
    </row>
    <row r="68" spans="1:8" x14ac:dyDescent="0.2">
      <c r="A68" s="815" t="s">
        <v>67</v>
      </c>
      <c r="B68" s="816"/>
      <c r="C68" s="816"/>
      <c r="D68" s="816"/>
      <c r="E68" s="816"/>
      <c r="F68" s="817"/>
      <c r="G68" s="104">
        <f>SUM(G65:G67)</f>
        <v>1724.13</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EPI''s'!E17</f>
        <v>0</v>
      </c>
      <c r="F108" s="24">
        <v>1</v>
      </c>
      <c r="G108" s="102">
        <f>ROUND((E108*F108),2)</f>
        <v>0</v>
      </c>
      <c r="H108" s="4"/>
    </row>
    <row r="109" spans="1:8" s="34" customFormat="1" x14ac:dyDescent="0.2">
      <c r="A109" s="36" t="s">
        <v>29</v>
      </c>
      <c r="B109" s="846" t="str">
        <f>'Uniformes e EPI''s'!A19</f>
        <v>EPI's</v>
      </c>
      <c r="C109" s="801"/>
      <c r="D109" s="801"/>
      <c r="E109" s="44">
        <f>'Uniformes e EPI''s'!D39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0.03</v>
      </c>
      <c r="G124" s="106">
        <f ca="1">ROUND(G$139*F124,2)</f>
        <v>116.29</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0.03</v>
      </c>
      <c r="G127" s="128">
        <f ca="1">SUM(G122:G126)</f>
        <v>116.29</v>
      </c>
      <c r="H127" s="4">
        <f ca="1">ROUND(G139*F127,2)</f>
        <v>116.29</v>
      </c>
    </row>
    <row r="128" spans="1:8" x14ac:dyDescent="0.2">
      <c r="A128" s="815" t="s">
        <v>104</v>
      </c>
      <c r="B128" s="816"/>
      <c r="C128" s="816"/>
      <c r="D128" s="816"/>
      <c r="E128" s="816"/>
      <c r="F128" s="23">
        <f>SUM(F119,F120,F127)</f>
        <v>0.03</v>
      </c>
      <c r="G128" s="124">
        <f ca="1">SUM(G119:G126)</f>
        <v>116.29</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2035.99</v>
      </c>
      <c r="H130" s="4"/>
    </row>
    <row r="131" spans="1:8" x14ac:dyDescent="0.2">
      <c r="A131" s="119" t="s">
        <v>29</v>
      </c>
      <c r="B131" s="806" t="s">
        <v>107</v>
      </c>
      <c r="C131" s="807"/>
      <c r="D131" s="807"/>
      <c r="E131" s="807"/>
      <c r="F131" s="808"/>
      <c r="G131" s="120">
        <f>G68</f>
        <v>1724.13</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3760.12</v>
      </c>
      <c r="H135" s="4"/>
    </row>
    <row r="136" spans="1:8" x14ac:dyDescent="0.2">
      <c r="A136" s="119" t="s">
        <v>34</v>
      </c>
      <c r="B136" s="812" t="s">
        <v>112</v>
      </c>
      <c r="C136" s="813"/>
      <c r="D136" s="813"/>
      <c r="E136" s="813"/>
      <c r="F136" s="814"/>
      <c r="G136" s="120">
        <f ca="1">G128</f>
        <v>116.29</v>
      </c>
      <c r="H136" s="4"/>
    </row>
    <row r="137" spans="1:8" x14ac:dyDescent="0.2">
      <c r="A137" s="815" t="s">
        <v>113</v>
      </c>
      <c r="B137" s="816"/>
      <c r="C137" s="816"/>
      <c r="D137" s="816"/>
      <c r="E137" s="816"/>
      <c r="F137" s="817"/>
      <c r="G137" s="104">
        <f ca="1">SUM(G135:G136)</f>
        <v>3876.41</v>
      </c>
      <c r="H137" s="4">
        <f ca="1">SUM(G130:G136)-G135</f>
        <v>3876.41</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3876.41</v>
      </c>
      <c r="H139" s="4"/>
    </row>
    <row r="140" spans="1:8" x14ac:dyDescent="0.2">
      <c r="A140" s="1300"/>
      <c r="B140" s="1301" t="s">
        <v>115</v>
      </c>
      <c r="C140" s="1301"/>
      <c r="D140" s="1301"/>
      <c r="E140" s="1301"/>
      <c r="F140" s="1302">
        <f>F21</f>
        <v>1</v>
      </c>
      <c r="G140" s="1303">
        <f ca="1">G139*F140</f>
        <v>3876.41</v>
      </c>
      <c r="H140" s="4"/>
    </row>
    <row r="141" spans="1:8" x14ac:dyDescent="0.2">
      <c r="F141" s="129"/>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21:E121"/>
    <mergeCell ref="B122:E122"/>
    <mergeCell ref="B123:E123"/>
    <mergeCell ref="B124:E124"/>
    <mergeCell ref="B126:E126"/>
    <mergeCell ref="B127:E127"/>
    <mergeCell ref="A106:F106"/>
    <mergeCell ref="A107:G107"/>
    <mergeCell ref="A116:F116"/>
    <mergeCell ref="A117:G117"/>
    <mergeCell ref="B119:E119"/>
    <mergeCell ref="B120:E120"/>
    <mergeCell ref="B108:D108"/>
    <mergeCell ref="B109:D109"/>
    <mergeCell ref="B110:D110"/>
    <mergeCell ref="B111:D111"/>
    <mergeCell ref="B112:D112"/>
    <mergeCell ref="B115:D115"/>
    <mergeCell ref="B114:D114"/>
    <mergeCell ref="B113:D113"/>
    <mergeCell ref="B125:E125"/>
    <mergeCell ref="B134:F134"/>
    <mergeCell ref="B135:F135"/>
    <mergeCell ref="B136:F136"/>
    <mergeCell ref="A137:F137"/>
    <mergeCell ref="A138:G138"/>
    <mergeCell ref="A128:E128"/>
    <mergeCell ref="A129:G129"/>
    <mergeCell ref="B130:F130"/>
    <mergeCell ref="B131:F131"/>
    <mergeCell ref="B132:F132"/>
    <mergeCell ref="B133:F133"/>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60 G58" formula="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pageSetUpPr fitToPage="1"/>
  </sheetPr>
  <dimension ref="A1:IM175"/>
  <sheetViews>
    <sheetView showGridLines="0" view="pageBreakPreview" topLeftCell="A43" zoomScaleNormal="100" zoomScaleSheetLayoutView="100" workbookViewId="0">
      <selection activeCell="B3" sqref="B3:H3"/>
    </sheetView>
  </sheetViews>
  <sheetFormatPr defaultColWidth="11.42578125" defaultRowHeight="16.5" x14ac:dyDescent="0.3"/>
  <cols>
    <col min="1" max="1" width="3" style="56" bestFit="1" customWidth="1"/>
    <col min="2" max="2" width="44.28515625" style="56" customWidth="1"/>
    <col min="3" max="8" width="14.5703125" style="56" customWidth="1"/>
    <col min="9" max="9" width="12.5703125" style="56" bestFit="1" customWidth="1"/>
    <col min="10" max="16384" width="11.42578125" style="56"/>
  </cols>
  <sheetData>
    <row r="1" spans="2:12" s="33" customFormat="1" ht="26.25" customHeight="1" x14ac:dyDescent="0.3">
      <c r="B1" s="970" t="s">
        <v>468</v>
      </c>
      <c r="C1" s="971"/>
      <c r="D1" s="971"/>
      <c r="E1" s="971"/>
      <c r="F1" s="971"/>
      <c r="G1" s="971"/>
      <c r="H1" s="972"/>
      <c r="I1" s="56"/>
      <c r="L1" s="50"/>
    </row>
    <row r="2" spans="2:12" s="33" customFormat="1" ht="26.25" customHeight="1" thickBot="1" x14ac:dyDescent="0.35">
      <c r="B2" s="973" t="s">
        <v>507</v>
      </c>
      <c r="C2" s="974"/>
      <c r="D2" s="974"/>
      <c r="E2" s="974"/>
      <c r="F2" s="974"/>
      <c r="G2" s="974"/>
      <c r="H2" s="975"/>
      <c r="I2" s="56"/>
      <c r="L2" s="50"/>
    </row>
    <row r="3" spans="2:12" s="33" customFormat="1" ht="38.25" customHeight="1" thickBot="1" x14ac:dyDescent="0.35">
      <c r="B3" s="976" t="s">
        <v>392</v>
      </c>
      <c r="C3" s="977"/>
      <c r="D3" s="977"/>
      <c r="E3" s="977"/>
      <c r="F3" s="977"/>
      <c r="G3" s="977"/>
      <c r="H3" s="978"/>
      <c r="I3" s="56"/>
      <c r="J3" s="950"/>
      <c r="K3" s="950"/>
      <c r="L3" s="50"/>
    </row>
    <row r="4" spans="2:12" ht="15.95" customHeight="1" x14ac:dyDescent="0.3">
      <c r="B4" s="965" t="s">
        <v>159</v>
      </c>
      <c r="C4" s="966"/>
      <c r="D4" s="966"/>
      <c r="E4" s="966"/>
      <c r="F4" s="966"/>
      <c r="G4" s="966"/>
      <c r="H4" s="967"/>
    </row>
    <row r="5" spans="2:12" ht="15.95" customHeight="1" thickBot="1" x14ac:dyDescent="0.35">
      <c r="B5" s="965"/>
      <c r="C5" s="966"/>
      <c r="D5" s="966"/>
      <c r="E5" s="966"/>
      <c r="F5" s="966"/>
      <c r="G5" s="966"/>
      <c r="H5" s="967"/>
    </row>
    <row r="6" spans="2:12" ht="15.95" customHeight="1" thickBot="1" x14ac:dyDescent="0.35">
      <c r="B6" s="168" t="s">
        <v>174</v>
      </c>
      <c r="C6" s="988" t="s">
        <v>467</v>
      </c>
      <c r="D6" s="989"/>
      <c r="E6" s="989"/>
      <c r="F6" s="989"/>
      <c r="G6" s="989"/>
      <c r="H6" s="990"/>
    </row>
    <row r="7" spans="2:12" ht="48.6" customHeight="1" thickBot="1" x14ac:dyDescent="0.35">
      <c r="B7" s="147" t="s">
        <v>193</v>
      </c>
      <c r="C7" s="169" t="s">
        <v>415</v>
      </c>
      <c r="D7" s="169" t="s">
        <v>439</v>
      </c>
      <c r="E7" s="169" t="s">
        <v>244</v>
      </c>
      <c r="F7" s="170" t="s">
        <v>438</v>
      </c>
      <c r="G7" s="81"/>
      <c r="H7" s="71"/>
    </row>
    <row r="8" spans="2:12" ht="15.95" customHeight="1" x14ac:dyDescent="0.3">
      <c r="B8" s="151" t="s">
        <v>237</v>
      </c>
      <c r="C8" s="152">
        <v>273.97000000000003</v>
      </c>
      <c r="D8" s="153">
        <v>800</v>
      </c>
      <c r="E8" s="154">
        <f t="shared" ref="E8:E13" si="0">C8/D8</f>
        <v>0.34</v>
      </c>
      <c r="F8" s="962">
        <f>ROUNDDOWN(SUM(E8:E12),0)</f>
        <v>1</v>
      </c>
      <c r="G8" s="951"/>
      <c r="H8" s="71"/>
    </row>
    <row r="9" spans="2:12" ht="15.95" customHeight="1" x14ac:dyDescent="0.3">
      <c r="B9" s="171" t="s">
        <v>248</v>
      </c>
      <c r="C9" s="59">
        <v>9323.57</v>
      </c>
      <c r="D9" s="632">
        <v>35000</v>
      </c>
      <c r="E9" s="173">
        <f t="shared" si="0"/>
        <v>0.27</v>
      </c>
      <c r="F9" s="963"/>
      <c r="G9" s="951"/>
      <c r="H9" s="71"/>
    </row>
    <row r="10" spans="2:12" ht="15.95" customHeight="1" x14ac:dyDescent="0.3">
      <c r="B10" s="171" t="s">
        <v>406</v>
      </c>
      <c r="C10" s="174">
        <v>43.93</v>
      </c>
      <c r="D10" s="172">
        <v>300</v>
      </c>
      <c r="E10" s="173">
        <f t="shared" si="0"/>
        <v>0.15</v>
      </c>
      <c r="F10" s="963"/>
      <c r="G10" s="951"/>
      <c r="H10" s="71"/>
    </row>
    <row r="11" spans="2:12" ht="15.95" customHeight="1" x14ac:dyDescent="0.3">
      <c r="B11" s="338" t="s">
        <v>239</v>
      </c>
      <c r="C11" s="211">
        <v>52.35</v>
      </c>
      <c r="D11" s="212">
        <v>200</v>
      </c>
      <c r="E11" s="173">
        <f t="shared" si="0"/>
        <v>0.26</v>
      </c>
      <c r="F11" s="963"/>
      <c r="G11" s="951"/>
      <c r="H11" s="71"/>
    </row>
    <row r="12" spans="2:12" ht="15.95" customHeight="1" thickBot="1" x14ac:dyDescent="0.35">
      <c r="B12" s="175" t="s">
        <v>403</v>
      </c>
      <c r="C12" s="176">
        <v>0</v>
      </c>
      <c r="D12" s="177">
        <v>200</v>
      </c>
      <c r="E12" s="339">
        <f t="shared" si="0"/>
        <v>0</v>
      </c>
      <c r="F12" s="964"/>
      <c r="G12" s="951"/>
      <c r="H12" s="71"/>
    </row>
    <row r="13" spans="2:12" ht="15.95" customHeight="1" thickBot="1" x14ac:dyDescent="0.35">
      <c r="B13" s="148" t="s">
        <v>238</v>
      </c>
      <c r="C13" s="59">
        <v>11100</v>
      </c>
      <c r="D13" s="360">
        <v>9000</v>
      </c>
      <c r="E13" s="150">
        <f t="shared" si="0"/>
        <v>1.23</v>
      </c>
      <c r="F13" s="165">
        <f>ROUNDDOWN(E13,0)</f>
        <v>1</v>
      </c>
      <c r="G13" s="164"/>
      <c r="H13" s="71"/>
      <c r="I13" s="155"/>
    </row>
    <row r="14" spans="2:12" ht="15.95" customHeight="1" x14ac:dyDescent="0.3">
      <c r="B14" s="954" t="s">
        <v>175</v>
      </c>
      <c r="C14" s="955"/>
      <c r="D14" s="955"/>
      <c r="E14" s="955"/>
      <c r="F14" s="178">
        <f>'Agente de Higienização_CEGUA'!F22</f>
        <v>1</v>
      </c>
      <c r="G14" s="135"/>
      <c r="H14" s="71"/>
    </row>
    <row r="15" spans="2:12" ht="15.95" customHeight="1" x14ac:dyDescent="0.3">
      <c r="B15" s="956" t="s">
        <v>216</v>
      </c>
      <c r="C15" s="957"/>
      <c r="D15" s="957"/>
      <c r="E15" s="957"/>
      <c r="F15" s="179">
        <f>Jardineiro_CEGUA!F22</f>
        <v>1</v>
      </c>
      <c r="G15" s="136"/>
      <c r="H15" s="71"/>
    </row>
    <row r="16" spans="2:12" ht="15.95" customHeight="1" thickBot="1" x14ac:dyDescent="0.35">
      <c r="B16" s="958" t="s">
        <v>446</v>
      </c>
      <c r="C16" s="959"/>
      <c r="D16" s="959"/>
      <c r="E16" s="959"/>
      <c r="F16" s="162">
        <f>SUM(F14:F15)</f>
        <v>2</v>
      </c>
      <c r="G16" s="137"/>
      <c r="H16" s="71"/>
    </row>
    <row r="17" spans="2:9" ht="15.95" customHeight="1" thickBot="1" x14ac:dyDescent="0.35">
      <c r="B17" s="180"/>
      <c r="C17" s="58"/>
      <c r="D17" s="57"/>
      <c r="E17" s="58"/>
      <c r="F17" s="58"/>
      <c r="G17" s="58"/>
      <c r="H17" s="71"/>
    </row>
    <row r="18" spans="2:9" ht="29.45" customHeight="1" thickBot="1" x14ac:dyDescent="0.35">
      <c r="B18" s="82" t="s">
        <v>194</v>
      </c>
      <c r="C18" s="181" t="s">
        <v>178</v>
      </c>
      <c r="D18" s="81"/>
      <c r="E18" s="81"/>
      <c r="F18" s="58"/>
      <c r="G18" s="58"/>
      <c r="H18" s="71"/>
    </row>
    <row r="19" spans="2:9" ht="15.95" customHeight="1" x14ac:dyDescent="0.3">
      <c r="B19" s="182" t="str">
        <f>'Agente de Higienização_CEGUA'!F16</f>
        <v>Agente de Higienização</v>
      </c>
      <c r="C19" s="183">
        <f ca="1">'Agente de Higienização_CEGUA'!G140</f>
        <v>4893.67</v>
      </c>
      <c r="D19" s="80"/>
      <c r="E19" s="80"/>
      <c r="F19" s="58"/>
      <c r="G19" s="58"/>
      <c r="H19" s="73"/>
    </row>
    <row r="20" spans="2:9" ht="15.95" customHeight="1" x14ac:dyDescent="0.3">
      <c r="B20" s="182" t="s">
        <v>216</v>
      </c>
      <c r="C20" s="183">
        <f ca="1">Jardineiro_CEGUA!G140</f>
        <v>3876.41</v>
      </c>
      <c r="D20" s="80"/>
      <c r="E20" s="80"/>
      <c r="F20" s="58"/>
      <c r="G20" s="58"/>
      <c r="H20" s="73"/>
    </row>
    <row r="21" spans="2:9" ht="15.95" customHeight="1" thickBot="1" x14ac:dyDescent="0.35">
      <c r="B21" s="180"/>
      <c r="C21" s="58"/>
      <c r="D21" s="57"/>
      <c r="E21" s="58"/>
      <c r="F21" s="58"/>
      <c r="G21" s="58"/>
      <c r="H21" s="71"/>
    </row>
    <row r="22" spans="2:9" ht="28.5" customHeight="1" thickBot="1" x14ac:dyDescent="0.35">
      <c r="B22" s="184" t="s">
        <v>165</v>
      </c>
      <c r="C22" s="185" t="s">
        <v>441</v>
      </c>
      <c r="D22" s="185" t="s">
        <v>172</v>
      </c>
      <c r="E22" s="185" t="s">
        <v>440</v>
      </c>
      <c r="F22" s="58"/>
      <c r="G22" s="58"/>
      <c r="H22" s="71"/>
    </row>
    <row r="23" spans="2:9" s="60" customFormat="1" ht="15.95" customHeight="1" x14ac:dyDescent="0.3">
      <c r="B23" s="186" t="s">
        <v>163</v>
      </c>
      <c r="C23" s="187"/>
      <c r="D23" s="187"/>
      <c r="E23" s="188"/>
      <c r="F23" s="58"/>
      <c r="G23" s="58"/>
      <c r="H23" s="71"/>
    </row>
    <row r="24" spans="2:9" s="60" customFormat="1" ht="15.95" customHeight="1" x14ac:dyDescent="0.3">
      <c r="B24" s="182" t="str">
        <f>B19</f>
        <v>Agente de Higienização</v>
      </c>
      <c r="C24" s="521">
        <f>ROUND(1/(26*D8),9)</f>
        <v>4.8077000000000001E-5</v>
      </c>
      <c r="D24" s="61">
        <f ca="1">C19</f>
        <v>4893.67</v>
      </c>
      <c r="E24" s="77">
        <f ca="1">ROUND(D24*C24,2)</f>
        <v>0.24</v>
      </c>
      <c r="F24" s="58"/>
      <c r="G24" s="58"/>
      <c r="H24" s="71"/>
    </row>
    <row r="25" spans="2:9" s="60" customFormat="1" ht="15.95" customHeight="1" thickBot="1" x14ac:dyDescent="0.35">
      <c r="B25" s="189"/>
      <c r="C25" s="960" t="s">
        <v>170</v>
      </c>
      <c r="D25" s="961"/>
      <c r="E25" s="190">
        <f ca="1">SUM(E24:E24)</f>
        <v>0.24</v>
      </c>
      <c r="F25" s="58"/>
      <c r="G25" s="58"/>
      <c r="H25" s="71"/>
    </row>
    <row r="26" spans="2:9" s="60" customFormat="1" ht="30.75" customHeight="1" thickBot="1" x14ac:dyDescent="0.35">
      <c r="B26" s="184" t="s">
        <v>165</v>
      </c>
      <c r="C26" s="185" t="s">
        <v>441</v>
      </c>
      <c r="D26" s="185" t="s">
        <v>172</v>
      </c>
      <c r="E26" s="185" t="s">
        <v>440</v>
      </c>
      <c r="F26" s="58"/>
      <c r="G26" s="58"/>
      <c r="H26" s="71"/>
    </row>
    <row r="27" spans="2:9" s="60" customFormat="1" ht="15.95" customHeight="1" x14ac:dyDescent="0.3">
      <c r="B27" s="186" t="s">
        <v>161</v>
      </c>
      <c r="C27" s="187"/>
      <c r="D27" s="187"/>
      <c r="E27" s="188"/>
      <c r="F27" s="58"/>
      <c r="G27" s="58"/>
      <c r="H27" s="71"/>
      <c r="I27" s="549" t="s">
        <v>480</v>
      </c>
    </row>
    <row r="28" spans="2:9" s="60" customFormat="1" ht="15.95" customHeight="1" x14ac:dyDescent="0.3">
      <c r="B28" s="182" t="str">
        <f>B19</f>
        <v>Agente de Higienização</v>
      </c>
      <c r="C28" s="191">
        <f>ROUND(1/(D9),9)</f>
        <v>2.8571000000000001E-5</v>
      </c>
      <c r="D28" s="61">
        <f ca="1">C19</f>
        <v>4893.67</v>
      </c>
      <c r="E28" s="77">
        <f ca="1">ROUND(D28*C28,2)</f>
        <v>0.14000000000000001</v>
      </c>
      <c r="F28" s="58"/>
      <c r="G28" s="58"/>
      <c r="H28" s="71"/>
    </row>
    <row r="29" spans="2:9" s="60" customFormat="1" ht="15.95" customHeight="1" thickBot="1" x14ac:dyDescent="0.35">
      <c r="B29" s="189"/>
      <c r="C29" s="960" t="s">
        <v>169</v>
      </c>
      <c r="D29" s="961"/>
      <c r="E29" s="190">
        <f ca="1">SUM(E28:E28)</f>
        <v>0.14000000000000001</v>
      </c>
      <c r="F29" s="58"/>
      <c r="G29" s="58"/>
      <c r="H29" s="71"/>
    </row>
    <row r="30" spans="2:9" s="60" customFormat="1" ht="15.95" customHeight="1" x14ac:dyDescent="0.3">
      <c r="B30" s="143" t="s">
        <v>240</v>
      </c>
      <c r="C30" s="64"/>
      <c r="D30" s="64"/>
      <c r="E30" s="188"/>
      <c r="F30" s="58"/>
      <c r="G30" s="58"/>
      <c r="H30" s="71"/>
    </row>
    <row r="31" spans="2:9" s="60" customFormat="1" ht="15.95" customHeight="1" x14ac:dyDescent="0.3">
      <c r="B31" s="182" t="str">
        <f>B19</f>
        <v>Agente de Higienização</v>
      </c>
      <c r="C31" s="191">
        <f>ROUND(1/(26*D11),9)</f>
        <v>1.92308E-4</v>
      </c>
      <c r="D31" s="192">
        <f ca="1">C19</f>
        <v>4893.67</v>
      </c>
      <c r="E31" s="62">
        <f ca="1">ROUND(D31*C31,2)</f>
        <v>0.94</v>
      </c>
      <c r="F31" s="58"/>
      <c r="G31" s="58"/>
      <c r="H31" s="71"/>
    </row>
    <row r="32" spans="2:9" s="63" customFormat="1" ht="15.95" customHeight="1" thickBot="1" x14ac:dyDescent="0.35">
      <c r="B32" s="189"/>
      <c r="C32" s="960" t="s">
        <v>241</v>
      </c>
      <c r="D32" s="961"/>
      <c r="E32" s="193">
        <f ca="1">SUM(E31)</f>
        <v>0.94</v>
      </c>
      <c r="F32" s="58"/>
      <c r="G32" s="58"/>
      <c r="H32" s="71"/>
    </row>
    <row r="33" spans="1:247" s="60" customFormat="1" ht="15.95" customHeight="1" thickBot="1" x14ac:dyDescent="0.35">
      <c r="B33" s="194"/>
      <c r="C33" s="58"/>
      <c r="D33" s="57"/>
      <c r="E33" s="58"/>
      <c r="F33" s="57"/>
      <c r="G33" s="58"/>
      <c r="H33" s="71"/>
    </row>
    <row r="34" spans="1:247" s="60" customFormat="1" ht="15.95" customHeight="1" thickBot="1" x14ac:dyDescent="0.35">
      <c r="B34" s="952" t="s">
        <v>165</v>
      </c>
      <c r="C34" s="953" t="s">
        <v>441</v>
      </c>
      <c r="D34" s="953" t="s">
        <v>245</v>
      </c>
      <c r="E34" s="953" t="s">
        <v>246</v>
      </c>
      <c r="F34" s="953" t="s">
        <v>168</v>
      </c>
      <c r="G34" s="953" t="s">
        <v>167</v>
      </c>
      <c r="H34" s="981" t="s">
        <v>442</v>
      </c>
    </row>
    <row r="35" spans="1:247" s="60" customFormat="1" ht="36" customHeight="1" thickBot="1" x14ac:dyDescent="0.35">
      <c r="B35" s="952"/>
      <c r="C35" s="953"/>
      <c r="D35" s="953"/>
      <c r="E35" s="953"/>
      <c r="F35" s="953"/>
      <c r="G35" s="953"/>
      <c r="H35" s="981"/>
    </row>
    <row r="36" spans="1:247" s="60" customFormat="1" ht="15.95" customHeight="1" x14ac:dyDescent="0.3">
      <c r="B36" s="195" t="s">
        <v>311</v>
      </c>
      <c r="C36" s="196"/>
      <c r="D36" s="196"/>
      <c r="E36" s="196"/>
      <c r="F36" s="196"/>
      <c r="G36" s="196"/>
      <c r="H36" s="197"/>
    </row>
    <row r="37" spans="1:247" s="60" customFormat="1" ht="15.95" customHeight="1" x14ac:dyDescent="0.3">
      <c r="B37" s="74" t="str">
        <f>B19</f>
        <v>Agente de Higienização</v>
      </c>
      <c r="C37" s="191">
        <f>ROUND(1/D10,9)</f>
        <v>3.333333E-3</v>
      </c>
      <c r="D37" s="198">
        <f>((C10/D10)*8)</f>
        <v>1</v>
      </c>
      <c r="E37" s="199">
        <f>ROUND(1/188.76,9)</f>
        <v>5.2977329999999998E-3</v>
      </c>
      <c r="F37" s="200">
        <f>ROUND(((C37)*(E37)*(D37)),9)</f>
        <v>1.7659000000000002E-5</v>
      </c>
      <c r="G37" s="201">
        <f ca="1">C19</f>
        <v>4893.67</v>
      </c>
      <c r="H37" s="202">
        <f ca="1">ROUND(G37*F37,2)</f>
        <v>0.09</v>
      </c>
    </row>
    <row r="38" spans="1:247" s="60" customFormat="1" ht="15.95" customHeight="1" thickBot="1" x14ac:dyDescent="0.35">
      <c r="B38" s="203"/>
      <c r="C38" s="204"/>
      <c r="D38" s="204"/>
      <c r="E38" s="204"/>
      <c r="F38" s="204"/>
      <c r="G38" s="205" t="s">
        <v>312</v>
      </c>
      <c r="H38" s="206">
        <f ca="1">ROUND(SUM(H37:H37),2)</f>
        <v>0.09</v>
      </c>
    </row>
    <row r="39" spans="1:247" s="66" customFormat="1" ht="15.95" customHeight="1" thickBot="1" x14ac:dyDescent="0.35">
      <c r="A39" s="141"/>
      <c r="B39" s="207"/>
      <c r="C39" s="139"/>
      <c r="D39" s="139"/>
      <c r="E39" s="139"/>
      <c r="F39" s="139"/>
      <c r="G39" s="140"/>
      <c r="H39" s="142"/>
    </row>
    <row r="40" spans="1:247" s="60" customFormat="1" ht="39" thickBot="1" x14ac:dyDescent="0.35">
      <c r="B40" s="184" t="s">
        <v>165</v>
      </c>
      <c r="C40" s="185" t="s">
        <v>441</v>
      </c>
      <c r="D40" s="185" t="s">
        <v>172</v>
      </c>
      <c r="E40" s="185" t="s">
        <v>440</v>
      </c>
      <c r="F40" s="58"/>
      <c r="G40" s="58"/>
      <c r="H40" s="71"/>
    </row>
    <row r="41" spans="1:247" s="60" customFormat="1" ht="15.95" customHeight="1" x14ac:dyDescent="0.3">
      <c r="B41" s="186" t="s">
        <v>242</v>
      </c>
      <c r="C41" s="187"/>
      <c r="D41" s="187"/>
      <c r="E41" s="188"/>
      <c r="F41" s="58"/>
      <c r="G41" s="58"/>
      <c r="H41" s="71"/>
    </row>
    <row r="42" spans="1:247" s="60" customFormat="1" ht="15.95" customHeight="1" x14ac:dyDescent="0.3">
      <c r="B42" s="182" t="str">
        <f>B19</f>
        <v>Agente de Higienização</v>
      </c>
      <c r="C42" s="441">
        <f>ROUND(1/(26*D13),9)</f>
        <v>4.2740000000000001E-6</v>
      </c>
      <c r="D42" s="442">
        <f ca="1">C19</f>
        <v>4893.67</v>
      </c>
      <c r="E42" s="77">
        <f ca="1">ROUND(D42*C42,2)</f>
        <v>0.02</v>
      </c>
      <c r="F42" s="58"/>
      <c r="G42" s="58"/>
      <c r="H42" s="71"/>
    </row>
    <row r="43" spans="1:247" s="63" customFormat="1" ht="15.95" customHeight="1" x14ac:dyDescent="0.3">
      <c r="B43" s="182" t="str">
        <f>B20</f>
        <v>Jardineiro</v>
      </c>
      <c r="C43" s="191">
        <f>ROUND(1/(D13),9)</f>
        <v>1.11111E-4</v>
      </c>
      <c r="D43" s="61">
        <f ca="1">C20</f>
        <v>3876.41</v>
      </c>
      <c r="E43" s="77">
        <f ca="1">ROUND(D43*C43,2)</f>
        <v>0.43</v>
      </c>
      <c r="F43" s="58"/>
      <c r="G43" s="58"/>
      <c r="H43" s="71"/>
    </row>
    <row r="44" spans="1:247" s="60" customFormat="1" ht="15.95" customHeight="1" thickBot="1" x14ac:dyDescent="0.35">
      <c r="A44" s="65"/>
      <c r="B44" s="189"/>
      <c r="C44" s="960" t="s">
        <v>247</v>
      </c>
      <c r="D44" s="961"/>
      <c r="E44" s="190">
        <f ca="1">SUM(E42:E43)</f>
        <v>0.45</v>
      </c>
      <c r="F44" s="139"/>
      <c r="G44" s="140"/>
      <c r="H44" s="138"/>
    </row>
    <row r="45" spans="1:247" s="60" customFormat="1" ht="15.95" customHeight="1" thickBot="1" x14ac:dyDescent="0.35">
      <c r="A45" s="65"/>
      <c r="B45" s="180"/>
      <c r="C45" s="58"/>
      <c r="D45" s="58"/>
      <c r="E45" s="58"/>
      <c r="F45" s="58"/>
      <c r="G45" s="58"/>
      <c r="H45" s="71"/>
    </row>
    <row r="46" spans="1:247" s="60" customFormat="1" ht="15.95" customHeight="1" thickBot="1" x14ac:dyDescent="0.35">
      <c r="B46" s="982" t="s">
        <v>165</v>
      </c>
      <c r="C46" s="979" t="s">
        <v>444</v>
      </c>
      <c r="D46" s="984" t="s">
        <v>443</v>
      </c>
      <c r="E46" s="979" t="s">
        <v>435</v>
      </c>
      <c r="F46" s="979" t="s">
        <v>445</v>
      </c>
      <c r="G46" s="986" t="s">
        <v>436</v>
      </c>
      <c r="H46" s="71"/>
    </row>
    <row r="47" spans="1:247" s="60" customFormat="1" ht="29.45" customHeight="1" thickBot="1" x14ac:dyDescent="0.35">
      <c r="B47" s="983"/>
      <c r="C47" s="980"/>
      <c r="D47" s="985"/>
      <c r="E47" s="980"/>
      <c r="F47" s="980"/>
      <c r="G47" s="987"/>
      <c r="H47" s="71"/>
      <c r="IF47" s="66"/>
      <c r="IG47" s="66"/>
      <c r="IH47" s="66"/>
      <c r="II47" s="66"/>
      <c r="IJ47" s="66"/>
      <c r="IK47" s="66"/>
      <c r="IL47" s="66"/>
      <c r="IM47" s="66"/>
    </row>
    <row r="48" spans="1:247" s="60" customFormat="1" ht="15.95" customHeight="1" x14ac:dyDescent="0.3">
      <c r="B48" s="143" t="s">
        <v>163</v>
      </c>
      <c r="C48" s="67">
        <f ca="1">E25</f>
        <v>0.24</v>
      </c>
      <c r="D48" s="68">
        <f t="shared" ref="D48:D53" si="1">C8</f>
        <v>273.97000000000003</v>
      </c>
      <c r="E48" s="208">
        <f t="shared" ref="E48:E53" ca="1" si="2">ROUND(D48*C48,2)</f>
        <v>65.75</v>
      </c>
      <c r="F48" s="68">
        <f t="shared" ref="F48:G53" si="3">D48*12</f>
        <v>3287.64</v>
      </c>
      <c r="G48" s="210">
        <f t="shared" ca="1" si="3"/>
        <v>789</v>
      </c>
      <c r="H48" s="72"/>
      <c r="IE48" s="66"/>
      <c r="IF48" s="66"/>
      <c r="IG48" s="66"/>
      <c r="IH48" s="66"/>
      <c r="II48" s="66"/>
      <c r="IJ48" s="66"/>
      <c r="IK48" s="66"/>
      <c r="IL48" s="66"/>
    </row>
    <row r="49" spans="1:246" s="60" customFormat="1" ht="15.95" customHeight="1" x14ac:dyDescent="0.3">
      <c r="B49" s="167" t="s">
        <v>161</v>
      </c>
      <c r="C49" s="67">
        <f ca="1">E29</f>
        <v>0.14000000000000001</v>
      </c>
      <c r="D49" s="68">
        <f t="shared" si="1"/>
        <v>9323.57</v>
      </c>
      <c r="E49" s="208">
        <f t="shared" ca="1" si="2"/>
        <v>1305.3</v>
      </c>
      <c r="F49" s="68">
        <f t="shared" si="3"/>
        <v>111882.84</v>
      </c>
      <c r="G49" s="210">
        <f t="shared" ca="1" si="3"/>
        <v>15663.6</v>
      </c>
      <c r="H49" s="72"/>
      <c r="IE49" s="66"/>
      <c r="IF49" s="66"/>
      <c r="IG49" s="66"/>
      <c r="IH49" s="66"/>
      <c r="II49" s="66"/>
      <c r="IJ49" s="66"/>
      <c r="IK49" s="66"/>
      <c r="IL49" s="66"/>
    </row>
    <row r="50" spans="1:246" s="60" customFormat="1" ht="15.95" customHeight="1" x14ac:dyDescent="0.3">
      <c r="B50" s="167" t="s">
        <v>405</v>
      </c>
      <c r="C50" s="67">
        <f ca="1">H38</f>
        <v>0.09</v>
      </c>
      <c r="D50" s="68">
        <f t="shared" si="1"/>
        <v>43.93</v>
      </c>
      <c r="E50" s="208">
        <f t="shared" ca="1" si="2"/>
        <v>3.95</v>
      </c>
      <c r="F50" s="68">
        <f t="shared" si="3"/>
        <v>527.16</v>
      </c>
      <c r="G50" s="210">
        <f t="shared" ca="1" si="3"/>
        <v>47.4</v>
      </c>
      <c r="H50" s="72"/>
    </row>
    <row r="51" spans="1:246" s="60" customFormat="1" ht="15.95" customHeight="1" x14ac:dyDescent="0.3">
      <c r="B51" s="167" t="s">
        <v>240</v>
      </c>
      <c r="C51" s="67">
        <f ca="1">E32</f>
        <v>0.94</v>
      </c>
      <c r="D51" s="68">
        <f t="shared" si="1"/>
        <v>52.35</v>
      </c>
      <c r="E51" s="208">
        <f t="shared" ca="1" si="2"/>
        <v>49.21</v>
      </c>
      <c r="F51" s="68">
        <f t="shared" si="3"/>
        <v>628.20000000000005</v>
      </c>
      <c r="G51" s="210">
        <f t="shared" ca="1" si="3"/>
        <v>590.52</v>
      </c>
      <c r="H51" s="72"/>
    </row>
    <row r="52" spans="1:246" s="616" customFormat="1" ht="15.95" customHeight="1" x14ac:dyDescent="0.3">
      <c r="B52" s="617" t="s">
        <v>404</v>
      </c>
      <c r="C52" s="618">
        <v>0</v>
      </c>
      <c r="D52" s="619">
        <f t="shared" si="1"/>
        <v>0</v>
      </c>
      <c r="E52" s="620">
        <f t="shared" si="2"/>
        <v>0</v>
      </c>
      <c r="F52" s="619">
        <f t="shared" si="3"/>
        <v>0</v>
      </c>
      <c r="G52" s="621">
        <f t="shared" si="3"/>
        <v>0</v>
      </c>
      <c r="H52" s="622"/>
    </row>
    <row r="53" spans="1:246" s="60" customFormat="1" ht="15.95" customHeight="1" x14ac:dyDescent="0.3">
      <c r="B53" s="167" t="s">
        <v>243</v>
      </c>
      <c r="C53" s="67">
        <f ca="1">E44</f>
        <v>0.45</v>
      </c>
      <c r="D53" s="68">
        <f t="shared" si="1"/>
        <v>11100</v>
      </c>
      <c r="E53" s="208">
        <f t="shared" ca="1" si="2"/>
        <v>4995</v>
      </c>
      <c r="F53" s="68">
        <f t="shared" si="3"/>
        <v>133200</v>
      </c>
      <c r="G53" s="210">
        <f t="shared" ca="1" si="3"/>
        <v>59940</v>
      </c>
      <c r="H53" s="72"/>
      <c r="I53" s="159"/>
    </row>
    <row r="54" spans="1:246" s="60" customFormat="1" ht="15.95" customHeight="1" x14ac:dyDescent="0.3">
      <c r="A54" s="69" t="s">
        <v>162</v>
      </c>
      <c r="B54" s="968" t="s">
        <v>408</v>
      </c>
      <c r="C54" s="969"/>
      <c r="D54" s="969"/>
      <c r="E54" s="969"/>
      <c r="F54" s="969"/>
      <c r="G54" s="428">
        <f ca="1">SUM(E48:E53)</f>
        <v>6419.21</v>
      </c>
      <c r="H54" s="71"/>
    </row>
    <row r="55" spans="1:246" s="60" customFormat="1" ht="15.95" customHeight="1" thickBot="1" x14ac:dyDescent="0.35">
      <c r="A55" s="63"/>
      <c r="B55" s="924" t="s">
        <v>437</v>
      </c>
      <c r="C55" s="925"/>
      <c r="D55" s="925"/>
      <c r="E55" s="925"/>
      <c r="F55" s="926"/>
      <c r="G55" s="429">
        <f ca="1">SUM(G48:G54)</f>
        <v>83449.73</v>
      </c>
      <c r="H55" s="71"/>
      <c r="I55" s="160"/>
      <c r="J55" s="161"/>
    </row>
    <row r="56" spans="1:246" s="60" customFormat="1" ht="15.95" customHeight="1" x14ac:dyDescent="0.3">
      <c r="A56" s="63"/>
      <c r="B56" s="933" t="s">
        <v>427</v>
      </c>
      <c r="C56" s="934"/>
      <c r="D56" s="934"/>
      <c r="E56" s="934"/>
      <c r="F56" s="934"/>
      <c r="G56" s="427">
        <f>'Insumos Diversos'!D136</f>
        <v>0</v>
      </c>
      <c r="H56" s="71"/>
      <c r="I56" s="160"/>
      <c r="J56" s="161"/>
    </row>
    <row r="57" spans="1:246" s="60" customFormat="1" ht="15.95" customHeight="1" thickBot="1" x14ac:dyDescent="0.35">
      <c r="A57" s="63"/>
      <c r="B57" s="929" t="s">
        <v>434</v>
      </c>
      <c r="C57" s="930"/>
      <c r="D57" s="930"/>
      <c r="E57" s="930"/>
      <c r="F57" s="930"/>
      <c r="G57" s="418">
        <f>G56*12</f>
        <v>0</v>
      </c>
      <c r="H57" s="71"/>
      <c r="I57" s="160"/>
      <c r="J57" s="161"/>
    </row>
    <row r="58" spans="1:246" s="60" customFormat="1" ht="15.95" customHeight="1" x14ac:dyDescent="0.3">
      <c r="A58" s="63"/>
      <c r="B58" s="931" t="s">
        <v>503</v>
      </c>
      <c r="C58" s="932"/>
      <c r="D58" s="932"/>
      <c r="E58" s="932"/>
      <c r="F58" s="932"/>
      <c r="G58" s="430">
        <f ca="1">SUM(G56,G54)</f>
        <v>6419.21</v>
      </c>
      <c r="H58" s="71"/>
      <c r="I58" s="160"/>
      <c r="J58" s="161"/>
    </row>
    <row r="59" spans="1:246" s="60" customFormat="1" ht="15.95" customHeight="1" thickBot="1" x14ac:dyDescent="0.35">
      <c r="A59" s="63"/>
      <c r="B59" s="927" t="s">
        <v>504</v>
      </c>
      <c r="C59" s="928"/>
      <c r="D59" s="928"/>
      <c r="E59" s="928"/>
      <c r="F59" s="928"/>
      <c r="G59" s="426">
        <f ca="1">G58*12</f>
        <v>77030.52</v>
      </c>
      <c r="H59" s="71"/>
      <c r="I59" s="160"/>
      <c r="J59" s="161"/>
    </row>
    <row r="60" spans="1:246" s="60" customFormat="1" ht="15.95" customHeight="1" x14ac:dyDescent="0.3">
      <c r="B60" s="209" t="s">
        <v>160</v>
      </c>
      <c r="C60" s="58"/>
      <c r="D60" s="58"/>
      <c r="E60" s="58"/>
      <c r="F60" s="58"/>
      <c r="G60" s="58"/>
      <c r="H60" s="71"/>
    </row>
    <row r="61" spans="1:246" s="60" customFormat="1" ht="15.95" customHeight="1" x14ac:dyDescent="0.3">
      <c r="B61" s="938" t="s">
        <v>253</v>
      </c>
      <c r="C61" s="939"/>
      <c r="D61" s="939"/>
      <c r="E61" s="939"/>
      <c r="F61" s="939"/>
      <c r="G61" s="939"/>
      <c r="H61" s="940"/>
    </row>
    <row r="62" spans="1:246" s="60" customFormat="1" ht="22.5" customHeight="1" x14ac:dyDescent="0.3">
      <c r="B62" s="941" t="s">
        <v>407</v>
      </c>
      <c r="C62" s="942"/>
      <c r="D62" s="942"/>
      <c r="E62" s="942"/>
      <c r="F62" s="942"/>
      <c r="G62" s="942"/>
      <c r="H62" s="943"/>
    </row>
    <row r="63" spans="1:246" s="60" customFormat="1" ht="30.75" customHeight="1" x14ac:dyDescent="0.3">
      <c r="B63" s="944" t="s">
        <v>317</v>
      </c>
      <c r="C63" s="945"/>
      <c r="D63" s="945"/>
      <c r="E63" s="945"/>
      <c r="F63" s="945"/>
      <c r="G63" s="945"/>
      <c r="H63" s="946"/>
    </row>
    <row r="64" spans="1:246" s="60" customFormat="1" ht="15.95" customHeight="1" x14ac:dyDescent="0.3">
      <c r="B64" s="947" t="s">
        <v>192</v>
      </c>
      <c r="C64" s="948"/>
      <c r="D64" s="948"/>
      <c r="E64" s="948"/>
      <c r="F64" s="948"/>
      <c r="G64" s="948"/>
      <c r="H64" s="949"/>
    </row>
    <row r="65" spans="1:8" s="60" customFormat="1" ht="35.25" customHeight="1" thickBot="1" x14ac:dyDescent="0.35">
      <c r="B65" s="935" t="s">
        <v>213</v>
      </c>
      <c r="C65" s="936"/>
      <c r="D65" s="936"/>
      <c r="E65" s="936"/>
      <c r="F65" s="936"/>
      <c r="G65" s="936"/>
      <c r="H65" s="937"/>
    </row>
    <row r="66" spans="1:8" s="60" customFormat="1" ht="15.95" customHeight="1" x14ac:dyDescent="0.3">
      <c r="A66" s="70"/>
      <c r="B66" s="351"/>
      <c r="C66" s="351"/>
      <c r="D66" s="351"/>
      <c r="E66" s="351"/>
      <c r="F66" s="351"/>
      <c r="G66" s="351"/>
      <c r="H66" s="352"/>
    </row>
    <row r="67" spans="1:8" s="60" customFormat="1" ht="15.95" customHeight="1" x14ac:dyDescent="0.3">
      <c r="A67" s="70"/>
    </row>
    <row r="68" spans="1:8" s="60" customFormat="1" ht="15.95" customHeight="1" x14ac:dyDescent="0.3">
      <c r="A68" s="70"/>
    </row>
    <row r="69" spans="1:8" s="60" customFormat="1" ht="15.95" customHeight="1" x14ac:dyDescent="0.3">
      <c r="A69" s="70"/>
    </row>
    <row r="70" spans="1:8" s="60" customFormat="1" ht="15.95" customHeight="1" x14ac:dyDescent="0.3">
      <c r="A70" s="70"/>
    </row>
    <row r="71" spans="1:8" s="60" customFormat="1" ht="15.95" customHeight="1" x14ac:dyDescent="0.3">
      <c r="A71" s="70"/>
    </row>
    <row r="72" spans="1:8" s="60" customFormat="1" ht="15.95" customHeight="1" x14ac:dyDescent="0.3">
      <c r="A72" s="70"/>
    </row>
    <row r="73" spans="1:8" s="60" customFormat="1" ht="15.95" customHeight="1" x14ac:dyDescent="0.3">
      <c r="A73" s="70"/>
    </row>
    <row r="74" spans="1:8" s="60" customFormat="1" ht="15.95" customHeight="1" x14ac:dyDescent="0.3">
      <c r="A74" s="70"/>
      <c r="B74" s="56"/>
      <c r="C74" s="56"/>
      <c r="D74" s="56"/>
      <c r="E74" s="56"/>
      <c r="F74" s="56"/>
    </row>
    <row r="75" spans="1:8" s="60" customFormat="1" ht="15.95" customHeight="1" x14ac:dyDescent="0.3">
      <c r="B75" s="56"/>
      <c r="C75" s="56"/>
      <c r="D75" s="56"/>
      <c r="E75" s="56"/>
      <c r="F75" s="56"/>
      <c r="G75" s="56"/>
    </row>
    <row r="76" spans="1:8" s="60" customFormat="1" ht="15.95" customHeight="1" x14ac:dyDescent="0.3">
      <c r="B76" s="56"/>
      <c r="C76" s="56"/>
      <c r="D76" s="56"/>
      <c r="E76" s="56"/>
      <c r="F76" s="56"/>
      <c r="G76" s="56"/>
      <c r="H76" s="56"/>
    </row>
    <row r="77" spans="1:8" s="60" customFormat="1" ht="15.95" customHeight="1" x14ac:dyDescent="0.3">
      <c r="A77" s="70"/>
      <c r="B77" s="56"/>
      <c r="C77" s="56"/>
      <c r="D77" s="56"/>
      <c r="E77" s="56"/>
      <c r="F77" s="56"/>
      <c r="G77" s="56"/>
      <c r="H77" s="56"/>
    </row>
    <row r="78" spans="1:8" s="60" customFormat="1" ht="15.95" customHeight="1" x14ac:dyDescent="0.3">
      <c r="A78" s="70"/>
      <c r="B78" s="56"/>
      <c r="C78" s="56"/>
      <c r="D78" s="56"/>
      <c r="E78" s="56"/>
      <c r="F78" s="56"/>
      <c r="G78" s="56"/>
      <c r="H78" s="56"/>
    </row>
    <row r="79" spans="1:8" s="60" customFormat="1" ht="15.95" customHeight="1" x14ac:dyDescent="0.3">
      <c r="B79" s="56"/>
      <c r="C79" s="56"/>
      <c r="D79" s="56"/>
      <c r="E79" s="56"/>
      <c r="F79" s="56"/>
      <c r="G79" s="56"/>
      <c r="H79" s="56"/>
    </row>
    <row r="83" ht="13.35" customHeight="1" x14ac:dyDescent="0.3"/>
    <row r="103" ht="12.95" customHeight="1" x14ac:dyDescent="0.3"/>
    <row r="104" ht="10.5" customHeight="1" x14ac:dyDescent="0.3"/>
    <row r="115" ht="12" customHeight="1" x14ac:dyDescent="0.3"/>
    <row r="116" ht="12" customHeight="1" x14ac:dyDescent="0.3"/>
    <row r="127" ht="13.5" customHeight="1" x14ac:dyDescent="0.3"/>
    <row r="174" ht="10.5" customHeight="1" x14ac:dyDescent="0.3"/>
    <row r="175" ht="10.5" customHeight="1" x14ac:dyDescent="0.3"/>
  </sheetData>
  <mergeCells count="39">
    <mergeCell ref="B54:F54"/>
    <mergeCell ref="B1:H1"/>
    <mergeCell ref="B2:H2"/>
    <mergeCell ref="B3:H3"/>
    <mergeCell ref="E46:E47"/>
    <mergeCell ref="C44:D44"/>
    <mergeCell ref="E34:E35"/>
    <mergeCell ref="F34:F35"/>
    <mergeCell ref="G34:G35"/>
    <mergeCell ref="H34:H35"/>
    <mergeCell ref="B46:B47"/>
    <mergeCell ref="C46:C47"/>
    <mergeCell ref="D46:D47"/>
    <mergeCell ref="F46:F47"/>
    <mergeCell ref="G46:G47"/>
    <mergeCell ref="C6:H6"/>
    <mergeCell ref="J3:K3"/>
    <mergeCell ref="G8:G12"/>
    <mergeCell ref="B34:B35"/>
    <mergeCell ref="C34:C35"/>
    <mergeCell ref="D34:D35"/>
    <mergeCell ref="B14:E14"/>
    <mergeCell ref="B15:E15"/>
    <mergeCell ref="B16:E16"/>
    <mergeCell ref="C25:D25"/>
    <mergeCell ref="C29:D29"/>
    <mergeCell ref="C32:D32"/>
    <mergeCell ref="F8:F12"/>
    <mergeCell ref="B4:H5"/>
    <mergeCell ref="B65:H65"/>
    <mergeCell ref="B61:H61"/>
    <mergeCell ref="B62:H62"/>
    <mergeCell ref="B63:H63"/>
    <mergeCell ref="B64:H64"/>
    <mergeCell ref="B55:F55"/>
    <mergeCell ref="B59:F59"/>
    <mergeCell ref="B57:F57"/>
    <mergeCell ref="B58:F58"/>
    <mergeCell ref="B56:F56"/>
  </mergeCells>
  <dataValidations disablePrompts="1" count="1">
    <dataValidation type="custom" allowBlank="1" showErrorMessage="1" errorTitle="Erro" error="Não é permitido escrever nesta célula" sqref="IP89 SL89 ACH89 AMD89 AVZ89 BFV89 BPR89 BZN89 CJJ89 CTF89 DDB89 DMX89 DWT89 EGP89 EQL89 FAH89 FKD89 FTZ89 GDV89 GNR89 GXN89 HHJ89 HRF89 IBB89 IKX89 IUT89 JEP89 JOL89 JYH89 KID89 KRZ89 LBV89 LLR89 LVN89 MFJ89 MPF89 MZB89 NIX89 NST89 OCP89 OML89 OWH89 PGD89 PPZ89 PZV89 QJR89 QTN89 RDJ89 RNF89 RXB89 SGX89 SQT89 TAP89 TKL89 TUH89 UED89 UNZ89 UXV89 VHR89 VRN89 WBJ89 WLF89 WVB89 IP65625 SL65625 ACH65625 AMD65625 AVZ65625 BFV65625 BPR65625 BZN65625 CJJ65625 CTF65625 DDB65625 DMX65625 DWT65625 EGP65625 EQL65625 FAH65625 FKD65625 FTZ65625 GDV65625 GNR65625 GXN65625 HHJ65625 HRF65625 IBB65625 IKX65625 IUT65625 JEP65625 JOL65625 JYH65625 KID65625 KRZ65625 LBV65625 LLR65625 LVN65625 MFJ65625 MPF65625 MZB65625 NIX65625 NST65625 OCP65625 OML65625 OWH65625 PGD65625 PPZ65625 PZV65625 QJR65625 QTN65625 RDJ65625 RNF65625 RXB65625 SGX65625 SQT65625 TAP65625 TKL65625 TUH65625 UED65625 UNZ65625 UXV65625 VHR65625 VRN65625 WBJ65625 WLF65625 WVB65625 IP131161 SL131161 ACH131161 AMD131161 AVZ131161 BFV131161 BPR131161 BZN131161 CJJ131161 CTF131161 DDB131161 DMX131161 DWT131161 EGP131161 EQL131161 FAH131161 FKD131161 FTZ131161 GDV131161 GNR131161 GXN131161 HHJ131161 HRF131161 IBB131161 IKX131161 IUT131161 JEP131161 JOL131161 JYH131161 KID131161 KRZ131161 LBV131161 LLR131161 LVN131161 MFJ131161 MPF131161 MZB131161 NIX131161 NST131161 OCP131161 OML131161 OWH131161 PGD131161 PPZ131161 PZV131161 QJR131161 QTN131161 RDJ131161 RNF131161 RXB131161 SGX131161 SQT131161 TAP131161 TKL131161 TUH131161 UED131161 UNZ131161 UXV131161 VHR131161 VRN131161 WBJ131161 WLF131161 WVB131161 IP196697 SL196697 ACH196697 AMD196697 AVZ196697 BFV196697 BPR196697 BZN196697 CJJ196697 CTF196697 DDB196697 DMX196697 DWT196697 EGP196697 EQL196697 FAH196697 FKD196697 FTZ196697 GDV196697 GNR196697 GXN196697 HHJ196697 HRF196697 IBB196697 IKX196697 IUT196697 JEP196697 JOL196697 JYH196697 KID196697 KRZ196697 LBV196697 LLR196697 LVN196697 MFJ196697 MPF196697 MZB196697 NIX196697 NST196697 OCP196697 OML196697 OWH196697 PGD196697 PPZ196697 PZV196697 QJR196697 QTN196697 RDJ196697 RNF196697 RXB196697 SGX196697 SQT196697 TAP196697 TKL196697 TUH196697 UED196697 UNZ196697 UXV196697 VHR196697 VRN196697 WBJ196697 WLF196697 WVB196697 IP262233 SL262233 ACH262233 AMD262233 AVZ262233 BFV262233 BPR262233 BZN262233 CJJ262233 CTF262233 DDB262233 DMX262233 DWT262233 EGP262233 EQL262233 FAH262233 FKD262233 FTZ262233 GDV262233 GNR262233 GXN262233 HHJ262233 HRF262233 IBB262233 IKX262233 IUT262233 JEP262233 JOL262233 JYH262233 KID262233 KRZ262233 LBV262233 LLR262233 LVN262233 MFJ262233 MPF262233 MZB262233 NIX262233 NST262233 OCP262233 OML262233 OWH262233 PGD262233 PPZ262233 PZV262233 QJR262233 QTN262233 RDJ262233 RNF262233 RXB262233 SGX262233 SQT262233 TAP262233 TKL262233 TUH262233 UED262233 UNZ262233 UXV262233 VHR262233 VRN262233 WBJ262233 WLF262233 WVB262233 IP327769 SL327769 ACH327769 AMD327769 AVZ327769 BFV327769 BPR327769 BZN327769 CJJ327769 CTF327769 DDB327769 DMX327769 DWT327769 EGP327769 EQL327769 FAH327769 FKD327769 FTZ327769 GDV327769 GNR327769 GXN327769 HHJ327769 HRF327769 IBB327769 IKX327769 IUT327769 JEP327769 JOL327769 JYH327769 KID327769 KRZ327769 LBV327769 LLR327769 LVN327769 MFJ327769 MPF327769 MZB327769 NIX327769 NST327769 OCP327769 OML327769 OWH327769 PGD327769 PPZ327769 PZV327769 QJR327769 QTN327769 RDJ327769 RNF327769 RXB327769 SGX327769 SQT327769 TAP327769 TKL327769 TUH327769 UED327769 UNZ327769 UXV327769 VHR327769 VRN327769 WBJ327769 WLF327769 WVB327769 IP393305 SL393305 ACH393305 AMD393305 AVZ393305 BFV393305 BPR393305 BZN393305 CJJ393305 CTF393305 DDB393305 DMX393305 DWT393305 EGP393305 EQL393305 FAH393305 FKD393305 FTZ393305 GDV393305 GNR393305 GXN393305 HHJ393305 HRF393305 IBB393305 IKX393305 IUT393305 JEP393305 JOL393305 JYH393305 KID393305 KRZ393305 LBV393305 LLR393305 LVN393305 MFJ393305 MPF393305 MZB393305 NIX393305 NST393305 OCP393305 OML393305 OWH393305 PGD393305 PPZ393305 PZV393305 QJR393305 QTN393305 RDJ393305 RNF393305 RXB393305 SGX393305 SQT393305 TAP393305 TKL393305 TUH393305 UED393305 UNZ393305 UXV393305 VHR393305 VRN393305 WBJ393305 WLF393305 WVB393305 IP458841 SL458841 ACH458841 AMD458841 AVZ458841 BFV458841 BPR458841 BZN458841 CJJ458841 CTF458841 DDB458841 DMX458841 DWT458841 EGP458841 EQL458841 FAH458841 FKD458841 FTZ458841 GDV458841 GNR458841 GXN458841 HHJ458841 HRF458841 IBB458841 IKX458841 IUT458841 JEP458841 JOL458841 JYH458841 KID458841 KRZ458841 LBV458841 LLR458841 LVN458841 MFJ458841 MPF458841 MZB458841 NIX458841 NST458841 OCP458841 OML458841 OWH458841 PGD458841 PPZ458841 PZV458841 QJR458841 QTN458841 RDJ458841 RNF458841 RXB458841 SGX458841 SQT458841 TAP458841 TKL458841 TUH458841 UED458841 UNZ458841 UXV458841 VHR458841 VRN458841 WBJ458841 WLF458841 WVB458841 IP524377 SL524377 ACH524377 AMD524377 AVZ524377 BFV524377 BPR524377 BZN524377 CJJ524377 CTF524377 DDB524377 DMX524377 DWT524377 EGP524377 EQL524377 FAH524377 FKD524377 FTZ524377 GDV524377 GNR524377 GXN524377 HHJ524377 HRF524377 IBB524377 IKX524377 IUT524377 JEP524377 JOL524377 JYH524377 KID524377 KRZ524377 LBV524377 LLR524377 LVN524377 MFJ524377 MPF524377 MZB524377 NIX524377 NST524377 OCP524377 OML524377 OWH524377 PGD524377 PPZ524377 PZV524377 QJR524377 QTN524377 RDJ524377 RNF524377 RXB524377 SGX524377 SQT524377 TAP524377 TKL524377 TUH524377 UED524377 UNZ524377 UXV524377 VHR524377 VRN524377 WBJ524377 WLF524377 WVB524377 IP589913 SL589913 ACH589913 AMD589913 AVZ589913 BFV589913 BPR589913 BZN589913 CJJ589913 CTF589913 DDB589913 DMX589913 DWT589913 EGP589913 EQL589913 FAH589913 FKD589913 FTZ589913 GDV589913 GNR589913 GXN589913 HHJ589913 HRF589913 IBB589913 IKX589913 IUT589913 JEP589913 JOL589913 JYH589913 KID589913 KRZ589913 LBV589913 LLR589913 LVN589913 MFJ589913 MPF589913 MZB589913 NIX589913 NST589913 OCP589913 OML589913 OWH589913 PGD589913 PPZ589913 PZV589913 QJR589913 QTN589913 RDJ589913 RNF589913 RXB589913 SGX589913 SQT589913 TAP589913 TKL589913 TUH589913 UED589913 UNZ589913 UXV589913 VHR589913 VRN589913 WBJ589913 WLF589913 WVB589913 IP655449 SL655449 ACH655449 AMD655449 AVZ655449 BFV655449 BPR655449 BZN655449 CJJ655449 CTF655449 DDB655449 DMX655449 DWT655449 EGP655449 EQL655449 FAH655449 FKD655449 FTZ655449 GDV655449 GNR655449 GXN655449 HHJ655449 HRF655449 IBB655449 IKX655449 IUT655449 JEP655449 JOL655449 JYH655449 KID655449 KRZ655449 LBV655449 LLR655449 LVN655449 MFJ655449 MPF655449 MZB655449 NIX655449 NST655449 OCP655449 OML655449 OWH655449 PGD655449 PPZ655449 PZV655449 QJR655449 QTN655449 RDJ655449 RNF655449 RXB655449 SGX655449 SQT655449 TAP655449 TKL655449 TUH655449 UED655449 UNZ655449 UXV655449 VHR655449 VRN655449 WBJ655449 WLF655449 WVB655449 IP720985 SL720985 ACH720985 AMD720985 AVZ720985 BFV720985 BPR720985 BZN720985 CJJ720985 CTF720985 DDB720985 DMX720985 DWT720985 EGP720985 EQL720985 FAH720985 FKD720985 FTZ720985 GDV720985 GNR720985 GXN720985 HHJ720985 HRF720985 IBB720985 IKX720985 IUT720985 JEP720985 JOL720985 JYH720985 KID720985 KRZ720985 LBV720985 LLR720985 LVN720985 MFJ720985 MPF720985 MZB720985 NIX720985 NST720985 OCP720985 OML720985 OWH720985 PGD720985 PPZ720985 PZV720985 QJR720985 QTN720985 RDJ720985 RNF720985 RXB720985 SGX720985 SQT720985 TAP720985 TKL720985 TUH720985 UED720985 UNZ720985 UXV720985 VHR720985 VRN720985 WBJ720985 WLF720985 WVB720985 IP786521 SL786521 ACH786521 AMD786521 AVZ786521 BFV786521 BPR786521 BZN786521 CJJ786521 CTF786521 DDB786521 DMX786521 DWT786521 EGP786521 EQL786521 FAH786521 FKD786521 FTZ786521 GDV786521 GNR786521 GXN786521 HHJ786521 HRF786521 IBB786521 IKX786521 IUT786521 JEP786521 JOL786521 JYH786521 KID786521 KRZ786521 LBV786521 LLR786521 LVN786521 MFJ786521 MPF786521 MZB786521 NIX786521 NST786521 OCP786521 OML786521 OWH786521 PGD786521 PPZ786521 PZV786521 QJR786521 QTN786521 RDJ786521 RNF786521 RXB786521 SGX786521 SQT786521 TAP786521 TKL786521 TUH786521 UED786521 UNZ786521 UXV786521 VHR786521 VRN786521 WBJ786521 WLF786521 WVB786521 IP852057 SL852057 ACH852057 AMD852057 AVZ852057 BFV852057 BPR852057 BZN852057 CJJ852057 CTF852057 DDB852057 DMX852057 DWT852057 EGP852057 EQL852057 FAH852057 FKD852057 FTZ852057 GDV852057 GNR852057 GXN852057 HHJ852057 HRF852057 IBB852057 IKX852057 IUT852057 JEP852057 JOL852057 JYH852057 KID852057 KRZ852057 LBV852057 LLR852057 LVN852057 MFJ852057 MPF852057 MZB852057 NIX852057 NST852057 OCP852057 OML852057 OWH852057 PGD852057 PPZ852057 PZV852057 QJR852057 QTN852057 RDJ852057 RNF852057 RXB852057 SGX852057 SQT852057 TAP852057 TKL852057 TUH852057 UED852057 UNZ852057 UXV852057 VHR852057 VRN852057 WBJ852057 WLF852057 WVB852057 IP917593 SL917593 ACH917593 AMD917593 AVZ917593 BFV917593 BPR917593 BZN917593 CJJ917593 CTF917593 DDB917593 DMX917593 DWT917593 EGP917593 EQL917593 FAH917593 FKD917593 FTZ917593 GDV917593 GNR917593 GXN917593 HHJ917593 HRF917593 IBB917593 IKX917593 IUT917593 JEP917593 JOL917593 JYH917593 KID917593 KRZ917593 LBV917593 LLR917593 LVN917593 MFJ917593 MPF917593 MZB917593 NIX917593 NST917593 OCP917593 OML917593 OWH917593 PGD917593 PPZ917593 PZV917593 QJR917593 QTN917593 RDJ917593 RNF917593 RXB917593 SGX917593 SQT917593 TAP917593 TKL917593 TUH917593 UED917593 UNZ917593 UXV917593 VHR917593 VRN917593 WBJ917593 WLF917593 WVB917593 IP983129 SL983129 ACH983129 AMD983129 AVZ983129 BFV983129 BPR983129 BZN983129 CJJ983129 CTF983129 DDB983129 DMX983129 DWT983129 EGP983129 EQL983129 FAH983129 FKD983129 FTZ983129 GDV983129 GNR983129 GXN983129 HHJ983129 HRF983129 IBB983129 IKX983129 IUT983129 JEP983129 JOL983129 JYH983129 KID983129 KRZ983129 LBV983129 LLR983129 LVN983129 MFJ983129 MPF983129 MZB983129 NIX983129 NST983129 OCP983129 OML983129 OWH983129 PGD983129 PPZ983129 PZV983129 QJR983129 QTN983129 RDJ983129 RNF983129 RXB983129 SGX983129 SQT983129 TAP983129 TKL983129 TUH983129 UED983129 UNZ983129 UXV983129 VHR983129 VRN983129 WBJ983129 WLF983129 WVB983129">
      <formula1>"&lt;""""&gt; "</formula1>
      <formula2>0</formula2>
    </dataValidation>
  </dataValidations>
  <pageMargins left="0.98425196850393704" right="0.39370078740157483" top="0.78740157480314965" bottom="0.98425196850393704" header="0.59055118110236227" footer="0.78740157480314965"/>
  <pageSetup paperSize="9" scale="56" firstPageNumber="0" orientation="portrait" r:id="rId1"/>
  <headerFooter alignWithMargins="0">
    <oddHeader>&amp;RPlanilha Elaborada pela SEAPL</oddHeader>
    <oddFooter>&amp;C&amp;"Arial Narrow,Normal"&amp;A - Página &amp;P</oddFooter>
  </headerFooter>
  <ignoredErrors>
    <ignoredError sqref="G56" formula="1"/>
  </ignoredError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12"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470</v>
      </c>
      <c r="G7" s="913"/>
    </row>
    <row r="8" spans="1:8" ht="19.5" customHeight="1" x14ac:dyDescent="0.2">
      <c r="A8" s="917" t="s">
        <v>146</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v>2025</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175</v>
      </c>
      <c r="G16" s="894"/>
      <c r="H16" s="3"/>
    </row>
    <row r="17" spans="1:8" ht="14.1" customHeight="1" x14ac:dyDescent="0.2">
      <c r="A17" s="877" t="s">
        <v>21</v>
      </c>
      <c r="B17" s="878"/>
      <c r="C17" s="878"/>
      <c r="D17" s="878"/>
      <c r="E17" s="879"/>
      <c r="F17" s="893" t="s">
        <v>148</v>
      </c>
      <c r="G17" s="894"/>
      <c r="H17" s="3"/>
    </row>
    <row r="18" spans="1:8" ht="14.1" customHeight="1" x14ac:dyDescent="0.2">
      <c r="A18" s="877" t="s">
        <v>1</v>
      </c>
      <c r="B18" s="878"/>
      <c r="C18" s="878"/>
      <c r="D18" s="878"/>
      <c r="E18" s="879"/>
      <c r="F18" s="887">
        <v>1766.58</v>
      </c>
      <c r="G18" s="888"/>
    </row>
    <row r="19" spans="1:8" ht="14.1" customHeight="1" x14ac:dyDescent="0.2">
      <c r="A19" s="882" t="s">
        <v>8</v>
      </c>
      <c r="B19" s="883"/>
      <c r="C19" s="883"/>
      <c r="D19" s="883"/>
      <c r="E19" s="884"/>
      <c r="F19" s="889">
        <v>45658</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5</v>
      </c>
      <c r="G22" s="886"/>
    </row>
    <row r="23" spans="1:8" ht="12.75" customHeight="1" x14ac:dyDescent="0.2">
      <c r="A23" s="882" t="s">
        <v>25</v>
      </c>
      <c r="B23" s="883"/>
      <c r="C23" s="883"/>
      <c r="D23" s="883"/>
      <c r="E23" s="884"/>
      <c r="F23" s="895" t="s">
        <v>214</v>
      </c>
      <c r="G23" s="896"/>
    </row>
    <row r="24" spans="1:8" ht="25.5" customHeight="1" x14ac:dyDescent="0.2">
      <c r="A24" s="923" t="s">
        <v>472</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347" t="s">
        <v>27</v>
      </c>
      <c r="G26" s="99" t="s">
        <v>3</v>
      </c>
    </row>
    <row r="27" spans="1:8" s="34" customFormat="1" x14ac:dyDescent="0.2">
      <c r="A27" s="100" t="s">
        <v>28</v>
      </c>
      <c r="B27" s="872" t="s">
        <v>153</v>
      </c>
      <c r="C27" s="872"/>
      <c r="D27" s="872"/>
      <c r="E27" s="872"/>
      <c r="F27" s="101">
        <v>1</v>
      </c>
      <c r="G27" s="102">
        <f>F18*F27</f>
        <v>1766.58</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0.4</v>
      </c>
      <c r="G29" s="102">
        <f>ROUND(F15*F29,2)</f>
        <v>607.20000000000005</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2373.7800000000002</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197.74</v>
      </c>
      <c r="H37" s="53"/>
    </row>
    <row r="38" spans="1:8" x14ac:dyDescent="0.2">
      <c r="A38" s="107" t="s">
        <v>29</v>
      </c>
      <c r="B38" s="854" t="s">
        <v>157</v>
      </c>
      <c r="C38" s="855"/>
      <c r="D38" s="855"/>
      <c r="E38" s="867"/>
      <c r="F38" s="108">
        <f>ROUND((1/11)+(1/11)/3, 3)</f>
        <v>0.121</v>
      </c>
      <c r="G38" s="8">
        <f>ROUND(G$34*F38,2)</f>
        <v>287.23</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164.03</v>
      </c>
      <c r="H40" s="4"/>
    </row>
    <row r="41" spans="1:8" x14ac:dyDescent="0.2">
      <c r="A41" s="842" t="s">
        <v>41</v>
      </c>
      <c r="B41" s="843"/>
      <c r="C41" s="843"/>
      <c r="D41" s="843"/>
      <c r="E41" s="841"/>
      <c r="F41" s="41">
        <f>ROUND(SUM(F39:F40),4)</f>
        <v>0.27339999999999998</v>
      </c>
      <c r="G41" s="111">
        <f>SUM(G37:G40)</f>
        <v>649</v>
      </c>
      <c r="H41" s="4">
        <f>ROUND(G34*F41,2)</f>
        <v>648.99</v>
      </c>
    </row>
    <row r="42" spans="1:8" x14ac:dyDescent="0.2">
      <c r="A42" s="835" t="s">
        <v>118</v>
      </c>
      <c r="B42" s="836"/>
      <c r="C42" s="836"/>
      <c r="D42" s="836"/>
      <c r="E42" s="836"/>
      <c r="F42" s="836"/>
      <c r="G42" s="837"/>
      <c r="H42" s="4">
        <f>SUM(G41,G34)</f>
        <v>3022.78</v>
      </c>
    </row>
    <row r="43" spans="1:8" x14ac:dyDescent="0.2">
      <c r="A43" s="42" t="s">
        <v>28</v>
      </c>
      <c r="B43" s="838" t="s">
        <v>42</v>
      </c>
      <c r="C43" s="839"/>
      <c r="D43" s="839"/>
      <c r="E43" s="869"/>
      <c r="F43" s="43">
        <v>0.2</v>
      </c>
      <c r="G43" s="22">
        <f>ROUND((G$34)*F43,2)</f>
        <v>474.76</v>
      </c>
      <c r="H43" s="4"/>
    </row>
    <row r="44" spans="1:8" x14ac:dyDescent="0.2">
      <c r="A44" s="36" t="s">
        <v>29</v>
      </c>
      <c r="B44" s="852" t="s">
        <v>43</v>
      </c>
      <c r="C44" s="853"/>
      <c r="D44" s="853"/>
      <c r="E44" s="866"/>
      <c r="F44" s="105">
        <v>2.5000000000000001E-2</v>
      </c>
      <c r="G44" s="112">
        <f>ROUND((G$34)*F44,2)</f>
        <v>59.34</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35.61</v>
      </c>
      <c r="H46" s="4"/>
    </row>
    <row r="47" spans="1:8" x14ac:dyDescent="0.2">
      <c r="A47" s="36" t="s">
        <v>32</v>
      </c>
      <c r="B47" s="852" t="s">
        <v>46</v>
      </c>
      <c r="C47" s="853"/>
      <c r="D47" s="853"/>
      <c r="E47" s="866"/>
      <c r="F47" s="105">
        <v>0.01</v>
      </c>
      <c r="G47" s="112">
        <f t="shared" si="0"/>
        <v>23.74</v>
      </c>
      <c r="H47" s="4"/>
    </row>
    <row r="48" spans="1:8" x14ac:dyDescent="0.2">
      <c r="A48" s="36" t="s">
        <v>34</v>
      </c>
      <c r="B48" s="852" t="s">
        <v>47</v>
      </c>
      <c r="C48" s="853"/>
      <c r="D48" s="853"/>
      <c r="E48" s="866"/>
      <c r="F48" s="105">
        <v>6.0000000000000001E-3</v>
      </c>
      <c r="G48" s="112">
        <f t="shared" si="0"/>
        <v>14.24</v>
      </c>
      <c r="H48" s="4"/>
    </row>
    <row r="49" spans="1:8" x14ac:dyDescent="0.2">
      <c r="A49" s="36" t="s">
        <v>48</v>
      </c>
      <c r="B49" s="852" t="s">
        <v>49</v>
      </c>
      <c r="C49" s="853"/>
      <c r="D49" s="853"/>
      <c r="E49" s="866"/>
      <c r="F49" s="105">
        <v>2E-3</v>
      </c>
      <c r="G49" s="112">
        <f t="shared" si="0"/>
        <v>4.75</v>
      </c>
      <c r="H49" s="4"/>
    </row>
    <row r="50" spans="1:8" x14ac:dyDescent="0.2">
      <c r="A50" s="107" t="s">
        <v>50</v>
      </c>
      <c r="B50" s="854" t="s">
        <v>51</v>
      </c>
      <c r="C50" s="855"/>
      <c r="D50" s="855"/>
      <c r="E50" s="867"/>
      <c r="F50" s="108">
        <v>0.08</v>
      </c>
      <c r="G50" s="112">
        <f t="shared" si="0"/>
        <v>189.9</v>
      </c>
      <c r="H50" s="4"/>
    </row>
    <row r="51" spans="1:8" x14ac:dyDescent="0.2">
      <c r="A51" s="842" t="s">
        <v>52</v>
      </c>
      <c r="B51" s="843"/>
      <c r="C51" s="843"/>
      <c r="D51" s="843"/>
      <c r="E51" s="841"/>
      <c r="F51" s="41">
        <f>SUM(F43:F50)</f>
        <v>0.33800000000000002</v>
      </c>
      <c r="G51" s="111">
        <f>SUM(G43:G50)</f>
        <v>802.34</v>
      </c>
      <c r="H51" s="4">
        <f>ROUND(G34*F51,2)</f>
        <v>802.34</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42</v>
      </c>
      <c r="G53" s="14">
        <f>IF(ROUND((E53*F53)-(G27*0.06),2)&lt;0,0,ROUND((E53*F53)-(G27*0.06),2))</f>
        <v>0</v>
      </c>
      <c r="H53" s="35"/>
    </row>
    <row r="54" spans="1:8" s="34" customFormat="1" x14ac:dyDescent="0.2">
      <c r="A54" s="36" t="s">
        <v>29</v>
      </c>
      <c r="B54" s="858" t="s">
        <v>56</v>
      </c>
      <c r="C54" s="859"/>
      <c r="D54" s="859"/>
      <c r="E54" s="113">
        <f>20.76-1.39</f>
        <v>19.37</v>
      </c>
      <c r="F54" s="114">
        <v>21</v>
      </c>
      <c r="G54" s="102">
        <f>ROUND((E54*F54),2)</f>
        <v>406.77</v>
      </c>
      <c r="H54" s="35"/>
    </row>
    <row r="55" spans="1:8" s="34" customFormat="1" x14ac:dyDescent="0.2">
      <c r="A55" s="36" t="s">
        <v>30</v>
      </c>
      <c r="B55" s="858" t="s">
        <v>58</v>
      </c>
      <c r="C55" s="859"/>
      <c r="D55" s="859"/>
      <c r="E55" s="113">
        <v>144.68</v>
      </c>
      <c r="F55" s="114">
        <v>1</v>
      </c>
      <c r="G55" s="102">
        <f>ROUND((E55*F55),2)</f>
        <v>144.68</v>
      </c>
      <c r="H55" s="35"/>
    </row>
    <row r="56" spans="1:8" s="34" customFormat="1" x14ac:dyDescent="0.2">
      <c r="A56" s="36" t="s">
        <v>31</v>
      </c>
      <c r="B56" s="858" t="s">
        <v>149</v>
      </c>
      <c r="C56" s="859"/>
      <c r="D56" s="859"/>
      <c r="E56" s="113">
        <v>35.33</v>
      </c>
      <c r="F56" s="114">
        <v>1</v>
      </c>
      <c r="G56" s="102">
        <f>ROUND((E56*F56),2)</f>
        <v>35.33</v>
      </c>
      <c r="H56" s="35"/>
    </row>
    <row r="57" spans="1:8" s="34" customFormat="1" x14ac:dyDescent="0.2">
      <c r="A57" s="36" t="s">
        <v>32</v>
      </c>
      <c r="B57" s="858" t="s">
        <v>179</v>
      </c>
      <c r="C57" s="859"/>
      <c r="D57" s="859"/>
      <c r="E57" s="1264">
        <f>ROUND((F18*30%)*5%,2)*0</f>
        <v>0</v>
      </c>
      <c r="F57" s="114">
        <v>1</v>
      </c>
      <c r="G57" s="102">
        <f>ROUND((E57*F57),2)</f>
        <v>0</v>
      </c>
      <c r="H57" s="35"/>
    </row>
    <row r="58" spans="1:8" s="34" customFormat="1" x14ac:dyDescent="0.2">
      <c r="A58" s="36" t="s">
        <v>34</v>
      </c>
      <c r="B58" s="858" t="s">
        <v>150</v>
      </c>
      <c r="C58" s="859"/>
      <c r="D58" s="859"/>
      <c r="E58" s="113">
        <f>20.76</f>
        <v>20.76</v>
      </c>
      <c r="F58" s="114">
        <v>1</v>
      </c>
      <c r="G58" s="102">
        <f>ROUND((E58*F58)/12,2)</f>
        <v>1.73</v>
      </c>
      <c r="H58" s="35"/>
    </row>
    <row r="59" spans="1:8" s="34" customFormat="1" x14ac:dyDescent="0.2">
      <c r="A59" s="36" t="s">
        <v>48</v>
      </c>
      <c r="B59" s="864" t="s">
        <v>180</v>
      </c>
      <c r="C59" s="865"/>
      <c r="D59" s="865"/>
      <c r="E59" s="113">
        <f>15.96</f>
        <v>15.96</v>
      </c>
      <c r="F59" s="115">
        <v>1</v>
      </c>
      <c r="G59" s="116">
        <f>ROUND((E59*F59),2)</f>
        <v>15.96</v>
      </c>
      <c r="H59" s="35"/>
    </row>
    <row r="60" spans="1:8" s="34" customFormat="1" x14ac:dyDescent="0.2">
      <c r="A60" s="36" t="s">
        <v>50</v>
      </c>
      <c r="B60" s="858" t="s">
        <v>254</v>
      </c>
      <c r="C60" s="859"/>
      <c r="D60" s="859"/>
      <c r="E60" s="113">
        <v>300</v>
      </c>
      <c r="F60" s="114">
        <v>1</v>
      </c>
      <c r="G60" s="102">
        <f>ROUND((E60*F60),2)</f>
        <v>300</v>
      </c>
      <c r="H60" s="35"/>
    </row>
    <row r="61" spans="1:8" s="34" customFormat="1" x14ac:dyDescent="0.2">
      <c r="A61" s="100" t="s">
        <v>151</v>
      </c>
      <c r="B61" s="858" t="s">
        <v>152</v>
      </c>
      <c r="C61" s="859"/>
      <c r="D61" s="859"/>
      <c r="E61" s="113">
        <v>0</v>
      </c>
      <c r="F61" s="114">
        <v>1</v>
      </c>
      <c r="G61" s="117">
        <f>ROUND((E61*F61),2)</f>
        <v>0</v>
      </c>
      <c r="H61" s="35"/>
    </row>
    <row r="62" spans="1:8" s="34" customFormat="1" x14ac:dyDescent="0.2">
      <c r="A62" s="36" t="s">
        <v>414</v>
      </c>
      <c r="B62" s="862" t="s">
        <v>152</v>
      </c>
      <c r="C62" s="863"/>
      <c r="D62" s="863"/>
      <c r="E62" s="118">
        <v>0</v>
      </c>
      <c r="F62" s="114">
        <v>1</v>
      </c>
      <c r="G62" s="102">
        <v>0</v>
      </c>
      <c r="H62" s="35"/>
    </row>
    <row r="63" spans="1:8" x14ac:dyDescent="0.2">
      <c r="A63" s="815" t="s">
        <v>60</v>
      </c>
      <c r="B63" s="816"/>
      <c r="C63" s="816"/>
      <c r="D63" s="816"/>
      <c r="E63" s="816"/>
      <c r="F63" s="817"/>
      <c r="G63" s="104">
        <f>SUM(G53:G62)</f>
        <v>904.47</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649</v>
      </c>
      <c r="H65" s="4"/>
    </row>
    <row r="66" spans="1:8" x14ac:dyDescent="0.2">
      <c r="A66" s="119" t="s">
        <v>64</v>
      </c>
      <c r="B66" s="806" t="s">
        <v>128</v>
      </c>
      <c r="C66" s="807"/>
      <c r="D66" s="807"/>
      <c r="E66" s="807"/>
      <c r="F66" s="18">
        <f>F51</f>
        <v>0.33800000000000002</v>
      </c>
      <c r="G66" s="120">
        <f>G51</f>
        <v>802.34</v>
      </c>
      <c r="H66" s="4"/>
    </row>
    <row r="67" spans="1:8" x14ac:dyDescent="0.2">
      <c r="A67" s="119" t="s">
        <v>65</v>
      </c>
      <c r="B67" s="806" t="s">
        <v>66</v>
      </c>
      <c r="C67" s="807"/>
      <c r="D67" s="807"/>
      <c r="E67" s="807"/>
      <c r="F67" s="808"/>
      <c r="G67" s="120">
        <f>G63</f>
        <v>904.47</v>
      </c>
      <c r="H67" s="4"/>
    </row>
    <row r="68" spans="1:8" x14ac:dyDescent="0.2">
      <c r="A68" s="815" t="s">
        <v>67</v>
      </c>
      <c r="B68" s="816"/>
      <c r="C68" s="816"/>
      <c r="D68" s="816"/>
      <c r="E68" s="816"/>
      <c r="F68" s="817"/>
      <c r="G68" s="104">
        <f>SUM(G65:G67)</f>
        <v>2355.81</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EPI''s'!G17</f>
        <v>0</v>
      </c>
      <c r="F108" s="24">
        <v>1</v>
      </c>
      <c r="G108" s="102">
        <f>ROUND(SUM(C108:E108),2)*F108</f>
        <v>0</v>
      </c>
      <c r="H108" s="4"/>
    </row>
    <row r="109" spans="1:8" s="34" customFormat="1" x14ac:dyDescent="0.2">
      <c r="A109" s="36" t="s">
        <v>29</v>
      </c>
      <c r="B109" s="846" t="str">
        <f>'Uniformes e EPI''s'!A19</f>
        <v>EPI's</v>
      </c>
      <c r="C109" s="801"/>
      <c r="D109" s="801"/>
      <c r="E109" s="44">
        <f>'Uniformes e EPI''s'!F39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f>ROUND((E114*F114)/12,2)</f>
        <v>0</v>
      </c>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0.05</v>
      </c>
      <c r="G124" s="106">
        <f ca="1">ROUND(G$139*F124,2)</f>
        <v>248.93</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0.05</v>
      </c>
      <c r="G127" s="128">
        <f ca="1">SUM(G122:G126)</f>
        <v>248.93</v>
      </c>
      <c r="H127" s="4">
        <f ca="1">ROUND(G139*F127,2)</f>
        <v>248.93</v>
      </c>
    </row>
    <row r="128" spans="1:8" x14ac:dyDescent="0.2">
      <c r="A128" s="815" t="s">
        <v>104</v>
      </c>
      <c r="B128" s="816"/>
      <c r="C128" s="816"/>
      <c r="D128" s="816"/>
      <c r="E128" s="816"/>
      <c r="F128" s="23">
        <f>SUM(F119,F120,F127)</f>
        <v>0.05</v>
      </c>
      <c r="G128" s="124">
        <f ca="1">SUM(G119:G126)</f>
        <v>248.93</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2373.7800000000002</v>
      </c>
      <c r="H130" s="4"/>
    </row>
    <row r="131" spans="1:8" x14ac:dyDescent="0.2">
      <c r="A131" s="119" t="s">
        <v>29</v>
      </c>
      <c r="B131" s="806" t="s">
        <v>107</v>
      </c>
      <c r="C131" s="807"/>
      <c r="D131" s="807"/>
      <c r="E131" s="807"/>
      <c r="F131" s="808"/>
      <c r="G131" s="120">
        <f>G68</f>
        <v>2355.81</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4729.59</v>
      </c>
      <c r="H135" s="4"/>
    </row>
    <row r="136" spans="1:8" x14ac:dyDescent="0.2">
      <c r="A136" s="119" t="s">
        <v>34</v>
      </c>
      <c r="B136" s="812" t="s">
        <v>112</v>
      </c>
      <c r="C136" s="813"/>
      <c r="D136" s="813"/>
      <c r="E136" s="813"/>
      <c r="F136" s="814"/>
      <c r="G136" s="120">
        <f ca="1">G128</f>
        <v>248.93</v>
      </c>
      <c r="H136" s="4"/>
    </row>
    <row r="137" spans="1:8" x14ac:dyDescent="0.2">
      <c r="A137" s="815" t="s">
        <v>113</v>
      </c>
      <c r="B137" s="816"/>
      <c r="C137" s="816"/>
      <c r="D137" s="816"/>
      <c r="E137" s="816"/>
      <c r="F137" s="817"/>
      <c r="G137" s="104">
        <f ca="1">SUM(G135:G136)</f>
        <v>4978.5200000000004</v>
      </c>
      <c r="H137" s="4">
        <f ca="1">SUM(G130:G136)-G135</f>
        <v>4978.5200000000004</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4978.5200000000004</v>
      </c>
      <c r="H139" s="4"/>
    </row>
    <row r="140" spans="1:8" x14ac:dyDescent="0.2">
      <c r="A140" s="1300"/>
      <c r="B140" s="1301" t="s">
        <v>115</v>
      </c>
      <c r="C140" s="1301"/>
      <c r="D140" s="1301"/>
      <c r="E140" s="1301"/>
      <c r="F140" s="1302">
        <f>F21</f>
        <v>1</v>
      </c>
      <c r="G140" s="1303">
        <f ca="1">G139*F140</f>
        <v>4978.5200000000004</v>
      </c>
      <c r="H140" s="4"/>
    </row>
    <row r="141" spans="1:8" x14ac:dyDescent="0.2">
      <c r="F141" s="346"/>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A138:G138"/>
    <mergeCell ref="B132:F132"/>
    <mergeCell ref="B133:F133"/>
    <mergeCell ref="B134:F134"/>
    <mergeCell ref="B135:F135"/>
    <mergeCell ref="B136:F136"/>
    <mergeCell ref="A137:F137"/>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86"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470</v>
      </c>
      <c r="G7" s="913"/>
    </row>
    <row r="8" spans="1:8" ht="19.5" customHeight="1" x14ac:dyDescent="0.2">
      <c r="A8" s="917" t="s">
        <v>215</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t="s">
        <v>463</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216</v>
      </c>
      <c r="G16" s="894"/>
      <c r="H16" s="3"/>
    </row>
    <row r="17" spans="1:8" ht="14.1" customHeight="1" x14ac:dyDescent="0.2">
      <c r="A17" s="877" t="s">
        <v>21</v>
      </c>
      <c r="B17" s="878"/>
      <c r="C17" s="878"/>
      <c r="D17" s="878"/>
      <c r="E17" s="879"/>
      <c r="F17" s="893" t="s">
        <v>218</v>
      </c>
      <c r="G17" s="894"/>
      <c r="H17" s="3"/>
    </row>
    <row r="18" spans="1:8" ht="14.1" customHeight="1" x14ac:dyDescent="0.2">
      <c r="A18" s="877" t="s">
        <v>1</v>
      </c>
      <c r="B18" s="878"/>
      <c r="C18" s="878"/>
      <c r="D18" s="878"/>
      <c r="E18" s="879"/>
      <c r="F18" s="887">
        <v>1732.39</v>
      </c>
      <c r="G18" s="888"/>
    </row>
    <row r="19" spans="1:8" ht="14.1" customHeight="1" x14ac:dyDescent="0.2">
      <c r="A19" s="882" t="s">
        <v>8</v>
      </c>
      <c r="B19" s="883"/>
      <c r="C19" s="883"/>
      <c r="D19" s="883"/>
      <c r="E19" s="884"/>
      <c r="F19" s="889">
        <v>45717</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1</v>
      </c>
      <c r="G22" s="886"/>
    </row>
    <row r="23" spans="1:8" ht="12.75" customHeight="1" x14ac:dyDescent="0.2">
      <c r="A23" s="882" t="s">
        <v>25</v>
      </c>
      <c r="B23" s="883"/>
      <c r="C23" s="883"/>
      <c r="D23" s="883"/>
      <c r="E23" s="884"/>
      <c r="F23" s="895" t="s">
        <v>214</v>
      </c>
      <c r="G23" s="896"/>
    </row>
    <row r="24" spans="1:8" ht="25.5" customHeight="1" x14ac:dyDescent="0.2">
      <c r="A24" s="923" t="s">
        <v>472</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347" t="s">
        <v>27</v>
      </c>
      <c r="G26" s="99" t="s">
        <v>3</v>
      </c>
    </row>
    <row r="27" spans="1:8" s="34" customFormat="1" x14ac:dyDescent="0.2">
      <c r="A27" s="100" t="s">
        <v>28</v>
      </c>
      <c r="B27" s="872" t="s">
        <v>153</v>
      </c>
      <c r="C27" s="872"/>
      <c r="D27" s="872"/>
      <c r="E27" s="872"/>
      <c r="F27" s="101">
        <v>1</v>
      </c>
      <c r="G27" s="102">
        <f>F18*F27</f>
        <v>1732.39</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0.2</v>
      </c>
      <c r="G29" s="102">
        <f>ROUND(F15*F29,2)</f>
        <v>303.60000000000002</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2035.99</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169.6</v>
      </c>
      <c r="H37" s="53"/>
    </row>
    <row r="38" spans="1:8" x14ac:dyDescent="0.2">
      <c r="A38" s="107" t="s">
        <v>29</v>
      </c>
      <c r="B38" s="854" t="s">
        <v>157</v>
      </c>
      <c r="C38" s="855"/>
      <c r="D38" s="855"/>
      <c r="E38" s="867"/>
      <c r="F38" s="108">
        <f>ROUND((1/11)+(1/11)/3, 3)</f>
        <v>0.121</v>
      </c>
      <c r="G38" s="8">
        <f>ROUND(G$34*F38,2)</f>
        <v>246.35</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140.69</v>
      </c>
      <c r="H40" s="4"/>
    </row>
    <row r="41" spans="1:8" x14ac:dyDescent="0.2">
      <c r="A41" s="842" t="s">
        <v>41</v>
      </c>
      <c r="B41" s="843"/>
      <c r="C41" s="843"/>
      <c r="D41" s="843"/>
      <c r="E41" s="841"/>
      <c r="F41" s="41">
        <f>ROUND(SUM(F39:F40),4)</f>
        <v>0.27339999999999998</v>
      </c>
      <c r="G41" s="111">
        <f>SUM(G37:G40)</f>
        <v>556.64</v>
      </c>
      <c r="H41" s="4">
        <f>ROUND(G34*F41,2)</f>
        <v>556.64</v>
      </c>
    </row>
    <row r="42" spans="1:8" x14ac:dyDescent="0.2">
      <c r="A42" s="835" t="s">
        <v>118</v>
      </c>
      <c r="B42" s="836"/>
      <c r="C42" s="836"/>
      <c r="D42" s="836"/>
      <c r="E42" s="836"/>
      <c r="F42" s="836"/>
      <c r="G42" s="837"/>
      <c r="H42" s="4">
        <f>SUM(G41,G34)</f>
        <v>2592.63</v>
      </c>
    </row>
    <row r="43" spans="1:8" x14ac:dyDescent="0.2">
      <c r="A43" s="42" t="s">
        <v>28</v>
      </c>
      <c r="B43" s="838" t="s">
        <v>42</v>
      </c>
      <c r="C43" s="839"/>
      <c r="D43" s="839"/>
      <c r="E43" s="869"/>
      <c r="F43" s="43">
        <v>0.2</v>
      </c>
      <c r="G43" s="22">
        <f>ROUND((G$34)*F43,2)</f>
        <v>407.2</v>
      </c>
      <c r="H43" s="4"/>
    </row>
    <row r="44" spans="1:8" x14ac:dyDescent="0.2">
      <c r="A44" s="36" t="s">
        <v>29</v>
      </c>
      <c r="B44" s="852" t="s">
        <v>43</v>
      </c>
      <c r="C44" s="853"/>
      <c r="D44" s="853"/>
      <c r="E44" s="866"/>
      <c r="F44" s="105">
        <v>2.5000000000000001E-2</v>
      </c>
      <c r="G44" s="112">
        <f>ROUND((G$34)*F44,2)</f>
        <v>50.9</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30.54</v>
      </c>
      <c r="H46" s="4"/>
    </row>
    <row r="47" spans="1:8" x14ac:dyDescent="0.2">
      <c r="A47" s="36" t="s">
        <v>32</v>
      </c>
      <c r="B47" s="852" t="s">
        <v>46</v>
      </c>
      <c r="C47" s="853"/>
      <c r="D47" s="853"/>
      <c r="E47" s="866"/>
      <c r="F47" s="105">
        <v>0.01</v>
      </c>
      <c r="G47" s="112">
        <f t="shared" si="0"/>
        <v>20.36</v>
      </c>
      <c r="H47" s="4"/>
    </row>
    <row r="48" spans="1:8" x14ac:dyDescent="0.2">
      <c r="A48" s="36" t="s">
        <v>34</v>
      </c>
      <c r="B48" s="852" t="s">
        <v>47</v>
      </c>
      <c r="C48" s="853"/>
      <c r="D48" s="853"/>
      <c r="E48" s="866"/>
      <c r="F48" s="105">
        <v>6.0000000000000001E-3</v>
      </c>
      <c r="G48" s="112">
        <f t="shared" si="0"/>
        <v>12.22</v>
      </c>
      <c r="H48" s="4"/>
    </row>
    <row r="49" spans="1:8" x14ac:dyDescent="0.2">
      <c r="A49" s="36" t="s">
        <v>48</v>
      </c>
      <c r="B49" s="852" t="s">
        <v>49</v>
      </c>
      <c r="C49" s="853"/>
      <c r="D49" s="853"/>
      <c r="E49" s="866"/>
      <c r="F49" s="105">
        <v>2E-3</v>
      </c>
      <c r="G49" s="112">
        <f t="shared" si="0"/>
        <v>4.07</v>
      </c>
      <c r="H49" s="4"/>
    </row>
    <row r="50" spans="1:8" x14ac:dyDescent="0.2">
      <c r="A50" s="107" t="s">
        <v>50</v>
      </c>
      <c r="B50" s="854" t="s">
        <v>51</v>
      </c>
      <c r="C50" s="855"/>
      <c r="D50" s="855"/>
      <c r="E50" s="867"/>
      <c r="F50" s="108">
        <v>0.08</v>
      </c>
      <c r="G50" s="112">
        <f t="shared" si="0"/>
        <v>162.88</v>
      </c>
      <c r="H50" s="4"/>
    </row>
    <row r="51" spans="1:8" x14ac:dyDescent="0.2">
      <c r="A51" s="842" t="s">
        <v>52</v>
      </c>
      <c r="B51" s="843"/>
      <c r="C51" s="843"/>
      <c r="D51" s="843"/>
      <c r="E51" s="841"/>
      <c r="F51" s="41">
        <f>SUM(F43:F50)</f>
        <v>0.33800000000000002</v>
      </c>
      <c r="G51" s="111">
        <f>SUM(G43:G50)</f>
        <v>688.17</v>
      </c>
      <c r="H51" s="4">
        <f>ROUND(G34*F51,2)</f>
        <v>688.16</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44</v>
      </c>
      <c r="G53" s="14">
        <f>IF(ROUND((E53*F53)-(G27*0.06),2)&lt;0,0,ROUND((E53*F53)-(G27*0.06),2))</f>
        <v>0</v>
      </c>
      <c r="H53" s="35"/>
    </row>
    <row r="54" spans="1:8" s="34" customFormat="1" x14ac:dyDescent="0.2">
      <c r="A54" s="36" t="s">
        <v>29</v>
      </c>
      <c r="B54" s="858" t="s">
        <v>56</v>
      </c>
      <c r="C54" s="859"/>
      <c r="D54" s="859"/>
      <c r="E54" s="113">
        <f>(12.5-1.4)</f>
        <v>11.1</v>
      </c>
      <c r="F54" s="114">
        <v>22</v>
      </c>
      <c r="G54" s="102">
        <f>ROUND((E54*F54),2)</f>
        <v>244.2</v>
      </c>
      <c r="H54" s="35"/>
    </row>
    <row r="55" spans="1:8" s="34" customFormat="1" x14ac:dyDescent="0.2">
      <c r="A55" s="36" t="s">
        <v>30</v>
      </c>
      <c r="B55" s="858" t="s">
        <v>58</v>
      </c>
      <c r="C55" s="859"/>
      <c r="D55" s="859"/>
      <c r="E55" s="113">
        <f>138.6</f>
        <v>138.6</v>
      </c>
      <c r="F55" s="114">
        <v>1</v>
      </c>
      <c r="G55" s="102">
        <f>ROUND((E55*F55),2)</f>
        <v>138.6</v>
      </c>
      <c r="H55" s="35"/>
    </row>
    <row r="56" spans="1:8" s="34" customFormat="1" x14ac:dyDescent="0.2">
      <c r="A56" s="36" t="s">
        <v>31</v>
      </c>
      <c r="B56" s="858" t="s">
        <v>255</v>
      </c>
      <c r="C56" s="859"/>
      <c r="D56" s="859"/>
      <c r="E56" s="113">
        <v>34.94</v>
      </c>
      <c r="F56" s="114">
        <v>1</v>
      </c>
      <c r="G56" s="102">
        <f>ROUND((E56*F56),2)</f>
        <v>34.94</v>
      </c>
      <c r="H56" s="35"/>
    </row>
    <row r="57" spans="1:8" s="34" customFormat="1" x14ac:dyDescent="0.2">
      <c r="A57" s="36" t="s">
        <v>32</v>
      </c>
      <c r="B57" s="858" t="s">
        <v>179</v>
      </c>
      <c r="C57" s="859"/>
      <c r="D57" s="859"/>
      <c r="E57" s="1264">
        <f>ROUND((F18*30%)*5%,2)*0</f>
        <v>0</v>
      </c>
      <c r="F57" s="114">
        <v>1</v>
      </c>
      <c r="G57" s="102">
        <f>ROUND((E57*F57),2)</f>
        <v>0</v>
      </c>
      <c r="H57" s="35"/>
    </row>
    <row r="58" spans="1:8" s="34" customFormat="1" x14ac:dyDescent="0.2">
      <c r="A58" s="36" t="s">
        <v>34</v>
      </c>
      <c r="B58" s="858" t="s">
        <v>217</v>
      </c>
      <c r="C58" s="859"/>
      <c r="D58" s="859"/>
      <c r="E58" s="113">
        <f>ROUND(((F18/220)*8)*1.5,2)</f>
        <v>94.49</v>
      </c>
      <c r="F58" s="114">
        <v>1</v>
      </c>
      <c r="G58" s="102">
        <f>ROUND((E58*F58)/12,2)</f>
        <v>7.87</v>
      </c>
      <c r="H58" s="35"/>
    </row>
    <row r="59" spans="1:8" s="34" customFormat="1" x14ac:dyDescent="0.2">
      <c r="A59" s="36" t="s">
        <v>48</v>
      </c>
      <c r="B59" s="864" t="s">
        <v>180</v>
      </c>
      <c r="C59" s="865"/>
      <c r="D59" s="865"/>
      <c r="E59" s="113">
        <f>9.31</f>
        <v>9.31</v>
      </c>
      <c r="F59" s="115">
        <v>1</v>
      </c>
      <c r="G59" s="116">
        <f>ROUND((E59*F59),2)</f>
        <v>9.31</v>
      </c>
      <c r="H59" s="35"/>
    </row>
    <row r="60" spans="1:8" s="34" customFormat="1" x14ac:dyDescent="0.2">
      <c r="A60" s="36" t="s">
        <v>50</v>
      </c>
      <c r="B60" s="858" t="s">
        <v>152</v>
      </c>
      <c r="C60" s="859"/>
      <c r="D60" s="859"/>
      <c r="E60" s="113">
        <v>0</v>
      </c>
      <c r="F60" s="114">
        <v>1</v>
      </c>
      <c r="G60" s="117">
        <f>ROUND((E60*F60),2)</f>
        <v>0</v>
      </c>
      <c r="H60" s="35"/>
    </row>
    <row r="61" spans="1:8" s="34" customFormat="1" x14ac:dyDescent="0.2">
      <c r="A61" s="100" t="s">
        <v>151</v>
      </c>
      <c r="B61" s="858" t="s">
        <v>152</v>
      </c>
      <c r="C61" s="859"/>
      <c r="D61" s="859"/>
      <c r="E61" s="113">
        <v>0</v>
      </c>
      <c r="F61" s="114">
        <v>1</v>
      </c>
      <c r="G61" s="117">
        <f>ROUND((E61*F61),2)</f>
        <v>0</v>
      </c>
      <c r="H61" s="35"/>
    </row>
    <row r="62" spans="1:8" s="34" customFormat="1" x14ac:dyDescent="0.2">
      <c r="A62" s="36" t="s">
        <v>414</v>
      </c>
      <c r="B62" s="862" t="s">
        <v>152</v>
      </c>
      <c r="C62" s="863"/>
      <c r="D62" s="863"/>
      <c r="E62" s="118">
        <v>0</v>
      </c>
      <c r="F62" s="114">
        <v>1</v>
      </c>
      <c r="G62" s="102">
        <v>0</v>
      </c>
      <c r="H62" s="35"/>
    </row>
    <row r="63" spans="1:8" x14ac:dyDescent="0.2">
      <c r="A63" s="815" t="s">
        <v>60</v>
      </c>
      <c r="B63" s="816"/>
      <c r="C63" s="816"/>
      <c r="D63" s="816"/>
      <c r="E63" s="816"/>
      <c r="F63" s="817"/>
      <c r="G63" s="104">
        <f>SUM(G53:G62)</f>
        <v>434.92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556.64</v>
      </c>
      <c r="H65" s="4"/>
    </row>
    <row r="66" spans="1:8" x14ac:dyDescent="0.2">
      <c r="A66" s="119" t="s">
        <v>64</v>
      </c>
      <c r="B66" s="806" t="s">
        <v>128</v>
      </c>
      <c r="C66" s="807"/>
      <c r="D66" s="807"/>
      <c r="E66" s="807"/>
      <c r="F66" s="18">
        <f>F51</f>
        <v>0.33800000000000002</v>
      </c>
      <c r="G66" s="120">
        <f>G51</f>
        <v>688.17</v>
      </c>
      <c r="H66" s="4"/>
    </row>
    <row r="67" spans="1:8" x14ac:dyDescent="0.2">
      <c r="A67" s="119" t="s">
        <v>65</v>
      </c>
      <c r="B67" s="806" t="s">
        <v>66</v>
      </c>
      <c r="C67" s="807"/>
      <c r="D67" s="807"/>
      <c r="E67" s="807"/>
      <c r="F67" s="808"/>
      <c r="G67" s="120">
        <f>G63</f>
        <v>434.92</v>
      </c>
      <c r="H67" s="4"/>
    </row>
    <row r="68" spans="1:8" x14ac:dyDescent="0.2">
      <c r="A68" s="815" t="s">
        <v>67</v>
      </c>
      <c r="B68" s="816"/>
      <c r="C68" s="816"/>
      <c r="D68" s="816"/>
      <c r="E68" s="816"/>
      <c r="F68" s="817"/>
      <c r="G68" s="104">
        <f>SUM(G65:G67)</f>
        <v>1679.73</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EPI''s'!G17</f>
        <v>0</v>
      </c>
      <c r="F108" s="24">
        <v>1</v>
      </c>
      <c r="G108" s="102">
        <f>ROUND((E108*F108),2)</f>
        <v>0</v>
      </c>
      <c r="H108" s="4"/>
    </row>
    <row r="109" spans="1:8" s="34" customFormat="1" x14ac:dyDescent="0.2">
      <c r="A109" s="36" t="s">
        <v>29</v>
      </c>
      <c r="B109" s="846" t="str">
        <f>'Uniformes e EPI''s'!A19</f>
        <v>EPI's</v>
      </c>
      <c r="C109" s="801"/>
      <c r="D109" s="801"/>
      <c r="E109" s="44">
        <f>'Uniformes e EPI''s'!F39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0.05</v>
      </c>
      <c r="G124" s="106">
        <f ca="1">ROUND(G$139*F124,2)</f>
        <v>195.56</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0.05</v>
      </c>
      <c r="G127" s="128">
        <f ca="1">SUM(G122:G126)</f>
        <v>195.56</v>
      </c>
      <c r="H127" s="4">
        <f ca="1">ROUND(G139*F127,2)</f>
        <v>195.56</v>
      </c>
    </row>
    <row r="128" spans="1:8" x14ac:dyDescent="0.2">
      <c r="A128" s="815" t="s">
        <v>104</v>
      </c>
      <c r="B128" s="816"/>
      <c r="C128" s="816"/>
      <c r="D128" s="816"/>
      <c r="E128" s="816"/>
      <c r="F128" s="23">
        <f>SUM(F119,F120,F127)</f>
        <v>0.05</v>
      </c>
      <c r="G128" s="124">
        <f ca="1">SUM(G119:G126)</f>
        <v>195.56</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2035.99</v>
      </c>
      <c r="H130" s="4"/>
    </row>
    <row r="131" spans="1:8" x14ac:dyDescent="0.2">
      <c r="A131" s="119" t="s">
        <v>29</v>
      </c>
      <c r="B131" s="806" t="s">
        <v>107</v>
      </c>
      <c r="C131" s="807"/>
      <c r="D131" s="807"/>
      <c r="E131" s="807"/>
      <c r="F131" s="808"/>
      <c r="G131" s="120">
        <f>G68</f>
        <v>1679.73</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3715.72</v>
      </c>
      <c r="H135" s="4"/>
    </row>
    <row r="136" spans="1:8" x14ac:dyDescent="0.2">
      <c r="A136" s="119" t="s">
        <v>34</v>
      </c>
      <c r="B136" s="812" t="s">
        <v>112</v>
      </c>
      <c r="C136" s="813"/>
      <c r="D136" s="813"/>
      <c r="E136" s="813"/>
      <c r="F136" s="814"/>
      <c r="G136" s="120">
        <f ca="1">G128</f>
        <v>195.56</v>
      </c>
      <c r="H136" s="4"/>
    </row>
    <row r="137" spans="1:8" x14ac:dyDescent="0.2">
      <c r="A137" s="815" t="s">
        <v>113</v>
      </c>
      <c r="B137" s="816"/>
      <c r="C137" s="816"/>
      <c r="D137" s="816"/>
      <c r="E137" s="816"/>
      <c r="F137" s="817"/>
      <c r="G137" s="104">
        <f ca="1">SUM(G135:G136)</f>
        <v>3911.28</v>
      </c>
      <c r="H137" s="4">
        <f ca="1">SUM(G130:G136)-G135</f>
        <v>3911.28</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3911.28</v>
      </c>
      <c r="H139" s="4"/>
    </row>
    <row r="140" spans="1:8" x14ac:dyDescent="0.2">
      <c r="A140" s="1300"/>
      <c r="B140" s="1301" t="s">
        <v>115</v>
      </c>
      <c r="C140" s="1301"/>
      <c r="D140" s="1301"/>
      <c r="E140" s="1301"/>
      <c r="F140" s="1302">
        <f>F21</f>
        <v>1</v>
      </c>
      <c r="G140" s="1303">
        <f ca="1">G139*F140</f>
        <v>3911.28</v>
      </c>
      <c r="H140" s="4"/>
    </row>
    <row r="141" spans="1:8" x14ac:dyDescent="0.2">
      <c r="F141" s="346"/>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A138:G138"/>
    <mergeCell ref="B132:F132"/>
    <mergeCell ref="B133:F133"/>
    <mergeCell ref="B134:F134"/>
    <mergeCell ref="B135:F135"/>
    <mergeCell ref="B136:F136"/>
    <mergeCell ref="A137:F137"/>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I151"/>
  <sheetViews>
    <sheetView view="pageBreakPreview" zoomScaleNormal="100" zoomScaleSheetLayoutView="100" workbookViewId="0">
      <selection activeCell="A10" sqref="A10:E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1082" t="s">
        <v>422</v>
      </c>
      <c r="B2" s="1083"/>
      <c r="C2" s="1083"/>
      <c r="D2" s="270"/>
      <c r="E2" s="270"/>
      <c r="F2" s="1084" t="s">
        <v>466</v>
      </c>
      <c r="G2" s="1085"/>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1086" t="s">
        <v>5</v>
      </c>
      <c r="B5" s="1087"/>
      <c r="C5" s="1087"/>
      <c r="D5" s="1087"/>
      <c r="E5" s="1087"/>
      <c r="F5" s="1088"/>
      <c r="G5" s="1089"/>
    </row>
    <row r="6" spans="1:8" ht="12.75" customHeight="1" x14ac:dyDescent="0.2">
      <c r="A6" s="1054" t="s">
        <v>16</v>
      </c>
      <c r="B6" s="1055"/>
      <c r="C6" s="1055"/>
      <c r="D6" s="1055"/>
      <c r="E6" s="1056"/>
      <c r="F6" s="1060"/>
      <c r="G6" s="1061"/>
    </row>
    <row r="7" spans="1:8" ht="14.1" customHeight="1" x14ac:dyDescent="0.2">
      <c r="A7" s="1054" t="s">
        <v>11</v>
      </c>
      <c r="B7" s="1055"/>
      <c r="C7" s="1055"/>
      <c r="D7" s="1055"/>
      <c r="E7" s="1056"/>
      <c r="F7" s="1075" t="s">
        <v>470</v>
      </c>
      <c r="G7" s="1061"/>
    </row>
    <row r="8" spans="1:8" ht="19.5" customHeight="1" x14ac:dyDescent="0.2">
      <c r="A8" s="1076" t="s">
        <v>146</v>
      </c>
      <c r="B8" s="1077"/>
      <c r="C8" s="1077"/>
      <c r="D8" s="1077"/>
      <c r="E8" s="1077"/>
      <c r="F8" s="1077"/>
      <c r="G8" s="1078"/>
    </row>
    <row r="9" spans="1:8" ht="19.5" customHeight="1" x14ac:dyDescent="0.2">
      <c r="A9" s="1079"/>
      <c r="B9" s="1080"/>
      <c r="C9" s="1080"/>
      <c r="D9" s="1080"/>
      <c r="E9" s="1080"/>
      <c r="F9" s="1080"/>
      <c r="G9" s="1081"/>
    </row>
    <row r="10" spans="1:8" ht="14.1" customHeight="1" x14ac:dyDescent="0.2">
      <c r="A10" s="1062" t="s">
        <v>17</v>
      </c>
      <c r="B10" s="1063"/>
      <c r="C10" s="1063"/>
      <c r="D10" s="1063"/>
      <c r="E10" s="1064"/>
      <c r="F10" s="1071">
        <v>2025</v>
      </c>
      <c r="G10" s="1072"/>
    </row>
    <row r="11" spans="1:8" ht="14.1" customHeight="1" x14ac:dyDescent="0.2">
      <c r="A11" s="1062" t="s">
        <v>18</v>
      </c>
      <c r="B11" s="1063"/>
      <c r="C11" s="1063"/>
      <c r="D11" s="1063"/>
      <c r="E11" s="1064"/>
      <c r="F11" s="1071" t="s">
        <v>393</v>
      </c>
      <c r="G11" s="1072"/>
    </row>
    <row r="12" spans="1:8" ht="14.1" customHeight="1" x14ac:dyDescent="0.2">
      <c r="A12" s="1062" t="s">
        <v>19</v>
      </c>
      <c r="B12" s="1063"/>
      <c r="C12" s="1063"/>
      <c r="D12" s="1063"/>
      <c r="E12" s="1064"/>
      <c r="F12" s="1071" t="s">
        <v>20</v>
      </c>
      <c r="G12" s="1072"/>
    </row>
    <row r="13" spans="1:8" ht="14.1" customHeight="1" x14ac:dyDescent="0.2">
      <c r="A13" s="1062" t="s">
        <v>10</v>
      </c>
      <c r="B13" s="1063"/>
      <c r="C13" s="1063"/>
      <c r="D13" s="1063"/>
      <c r="E13" s="1064"/>
      <c r="F13" s="1071" t="s">
        <v>9</v>
      </c>
      <c r="G13" s="1072"/>
    </row>
    <row r="14" spans="1:8" ht="14.1" customHeight="1" x14ac:dyDescent="0.2">
      <c r="A14" s="1003" t="s">
        <v>6</v>
      </c>
      <c r="B14" s="1004"/>
      <c r="C14" s="1004"/>
      <c r="D14" s="1004"/>
      <c r="E14" s="1004"/>
      <c r="F14" s="1005"/>
      <c r="G14" s="1006"/>
    </row>
    <row r="15" spans="1:8" ht="14.1" customHeight="1" x14ac:dyDescent="0.2">
      <c r="A15" s="1062" t="s">
        <v>7</v>
      </c>
      <c r="B15" s="1063"/>
      <c r="C15" s="1063"/>
      <c r="D15" s="1063"/>
      <c r="E15" s="1064"/>
      <c r="F15" s="1073">
        <v>1518</v>
      </c>
      <c r="G15" s="1074"/>
    </row>
    <row r="16" spans="1:8" ht="13.5" customHeight="1" x14ac:dyDescent="0.2">
      <c r="A16" s="1062" t="s">
        <v>0</v>
      </c>
      <c r="B16" s="1063"/>
      <c r="C16" s="1063"/>
      <c r="D16" s="1063"/>
      <c r="E16" s="1064"/>
      <c r="F16" s="1065" t="s">
        <v>394</v>
      </c>
      <c r="G16" s="1066"/>
      <c r="H16" s="3"/>
    </row>
    <row r="17" spans="1:8" ht="14.1" customHeight="1" x14ac:dyDescent="0.2">
      <c r="A17" s="1062" t="s">
        <v>21</v>
      </c>
      <c r="B17" s="1063"/>
      <c r="C17" s="1063"/>
      <c r="D17" s="1063"/>
      <c r="E17" s="1064"/>
      <c r="F17" s="1067" t="s">
        <v>395</v>
      </c>
      <c r="G17" s="1068"/>
      <c r="H17" s="3"/>
    </row>
    <row r="18" spans="1:8" ht="14.1" customHeight="1" x14ac:dyDescent="0.2">
      <c r="A18" s="1062" t="s">
        <v>1</v>
      </c>
      <c r="B18" s="1063"/>
      <c r="C18" s="1063"/>
      <c r="D18" s="1063"/>
      <c r="E18" s="1064"/>
      <c r="F18" s="1069">
        <v>1766.58</v>
      </c>
      <c r="G18" s="1070"/>
    </row>
    <row r="19" spans="1:8" ht="14.1" customHeight="1" x14ac:dyDescent="0.2">
      <c r="A19" s="1054" t="s">
        <v>8</v>
      </c>
      <c r="B19" s="1055"/>
      <c r="C19" s="1055"/>
      <c r="D19" s="1055"/>
      <c r="E19" s="1056"/>
      <c r="F19" s="889">
        <v>45658</v>
      </c>
      <c r="G19" s="890"/>
    </row>
    <row r="20" spans="1:8" ht="14.1" customHeight="1" x14ac:dyDescent="0.2">
      <c r="A20" s="1062" t="s">
        <v>22</v>
      </c>
      <c r="B20" s="1063"/>
      <c r="C20" s="1063"/>
      <c r="D20" s="1063"/>
      <c r="E20" s="1064"/>
      <c r="F20" s="880" t="s">
        <v>140</v>
      </c>
      <c r="G20" s="881"/>
    </row>
    <row r="21" spans="1:8" ht="14.1" customHeight="1" x14ac:dyDescent="0.2">
      <c r="A21" s="1054" t="s">
        <v>23</v>
      </c>
      <c r="B21" s="1055"/>
      <c r="C21" s="1055"/>
      <c r="D21" s="1055"/>
      <c r="E21" s="1056"/>
      <c r="F21" s="885">
        <v>1</v>
      </c>
      <c r="G21" s="886"/>
    </row>
    <row r="22" spans="1:8" ht="14.1" customHeight="1" x14ac:dyDescent="0.2">
      <c r="A22" s="1054" t="s">
        <v>24</v>
      </c>
      <c r="B22" s="1055"/>
      <c r="C22" s="1055"/>
      <c r="D22" s="1055"/>
      <c r="E22" s="1056"/>
      <c r="F22" s="885">
        <v>1</v>
      </c>
      <c r="G22" s="886"/>
    </row>
    <row r="23" spans="1:8" ht="12.75" customHeight="1" x14ac:dyDescent="0.2">
      <c r="A23" s="1054" t="s">
        <v>25</v>
      </c>
      <c r="B23" s="1055"/>
      <c r="C23" s="1055"/>
      <c r="D23" s="1055"/>
      <c r="E23" s="1056"/>
      <c r="F23" s="1057" t="s">
        <v>214</v>
      </c>
      <c r="G23" s="1058"/>
    </row>
    <row r="24" spans="1:8" ht="27" customHeight="1" x14ac:dyDescent="0.2">
      <c r="A24" s="1059" t="s">
        <v>472</v>
      </c>
      <c r="B24" s="1060"/>
      <c r="C24" s="1060"/>
      <c r="D24" s="1060"/>
      <c r="E24" s="1060"/>
      <c r="F24" s="1060"/>
      <c r="G24" s="1061"/>
    </row>
    <row r="25" spans="1:8" x14ac:dyDescent="0.2">
      <c r="A25" s="1003" t="s">
        <v>2</v>
      </c>
      <c r="B25" s="1004"/>
      <c r="C25" s="1004"/>
      <c r="D25" s="1004"/>
      <c r="E25" s="1004"/>
      <c r="F25" s="1005"/>
      <c r="G25" s="1006"/>
    </row>
    <row r="26" spans="1:8" x14ac:dyDescent="0.2">
      <c r="A26" s="271">
        <v>1</v>
      </c>
      <c r="B26" s="1051" t="s">
        <v>26</v>
      </c>
      <c r="C26" s="1051"/>
      <c r="D26" s="1051"/>
      <c r="E26" s="1051"/>
      <c r="F26" s="348" t="s">
        <v>27</v>
      </c>
      <c r="G26" s="272" t="s">
        <v>3</v>
      </c>
    </row>
    <row r="27" spans="1:8" x14ac:dyDescent="0.2">
      <c r="A27" s="273" t="s">
        <v>28</v>
      </c>
      <c r="B27" s="1052" t="s">
        <v>396</v>
      </c>
      <c r="C27" s="1052"/>
      <c r="D27" s="1052"/>
      <c r="E27" s="1052"/>
      <c r="F27" s="274">
        <v>1</v>
      </c>
      <c r="G27" s="275">
        <f>F18*F27</f>
        <v>1766.58</v>
      </c>
      <c r="H27" s="276"/>
    </row>
    <row r="28" spans="1:8" x14ac:dyDescent="0.2">
      <c r="A28" s="273" t="s">
        <v>29</v>
      </c>
      <c r="B28" s="1053" t="s">
        <v>117</v>
      </c>
      <c r="C28" s="1053"/>
      <c r="D28" s="1053"/>
      <c r="E28" s="1053"/>
      <c r="F28" s="277">
        <v>0</v>
      </c>
      <c r="G28" s="275">
        <f>ROUND(G27*F28,2)</f>
        <v>0</v>
      </c>
      <c r="H28" s="276"/>
    </row>
    <row r="29" spans="1:8" x14ac:dyDescent="0.2">
      <c r="A29" s="273" t="s">
        <v>30</v>
      </c>
      <c r="B29" s="1053" t="s">
        <v>15</v>
      </c>
      <c r="C29" s="1053"/>
      <c r="D29" s="1053"/>
      <c r="E29" s="1053"/>
      <c r="F29" s="277">
        <v>0.2</v>
      </c>
      <c r="G29" s="275">
        <f>ROUND(F15*F29,2)</f>
        <v>303.60000000000002</v>
      </c>
      <c r="H29" s="276"/>
    </row>
    <row r="30" spans="1:8" x14ac:dyDescent="0.2">
      <c r="A30" s="273" t="s">
        <v>31</v>
      </c>
      <c r="B30" s="870" t="s">
        <v>154</v>
      </c>
      <c r="C30" s="870"/>
      <c r="D30" s="870"/>
      <c r="E30" s="870"/>
      <c r="F30" s="274">
        <f>ROUND((ROUND((0*15.22),2)/52.5)*60,2)</f>
        <v>0</v>
      </c>
      <c r="G30" s="275">
        <f>ROUND(ROUND(ROUND((SUM(G27:G29)+G33)/220,2)*0.2,2)*F30,2)</f>
        <v>0</v>
      </c>
      <c r="H30" s="276"/>
    </row>
    <row r="31" spans="1:8" x14ac:dyDescent="0.2">
      <c r="A31" s="365" t="s">
        <v>32</v>
      </c>
      <c r="B31" s="870" t="s">
        <v>33</v>
      </c>
      <c r="C31" s="870"/>
      <c r="D31" s="870"/>
      <c r="E31" s="870"/>
      <c r="F31" s="274">
        <v>0</v>
      </c>
      <c r="G31" s="275"/>
      <c r="H31" s="276"/>
    </row>
    <row r="32" spans="1:8" x14ac:dyDescent="0.2">
      <c r="A32" s="273" t="s">
        <v>34</v>
      </c>
      <c r="B32" s="870" t="s">
        <v>155</v>
      </c>
      <c r="C32" s="870"/>
      <c r="D32" s="870"/>
      <c r="E32" s="870"/>
      <c r="F32" s="274">
        <f>ROUND(SUM(F30)/15.22*5,2)</f>
        <v>0</v>
      </c>
      <c r="G32" s="275">
        <f>ROUND(ROUND(ROUND((SUM(G27:G29)+G33)/220,2)*0.2,2)*F32,2)</f>
        <v>0</v>
      </c>
      <c r="H32" s="276"/>
    </row>
    <row r="33" spans="1:8" x14ac:dyDescent="0.2">
      <c r="A33" s="273" t="s">
        <v>48</v>
      </c>
      <c r="B33" s="870" t="s">
        <v>156</v>
      </c>
      <c r="C33" s="870"/>
      <c r="D33" s="870"/>
      <c r="E33" s="870"/>
      <c r="F33" s="277">
        <v>0</v>
      </c>
      <c r="G33" s="275">
        <f>ROUND(F18*F33,2)</f>
        <v>0</v>
      </c>
      <c r="H33" s="276"/>
    </row>
    <row r="34" spans="1:8" x14ac:dyDescent="0.2">
      <c r="A34" s="1022" t="s">
        <v>35</v>
      </c>
      <c r="B34" s="999"/>
      <c r="C34" s="999"/>
      <c r="D34" s="999"/>
      <c r="E34" s="999"/>
      <c r="F34" s="1050"/>
      <c r="G34" s="278">
        <f>SUM(G27:G33)</f>
        <v>2070.1799999999998</v>
      </c>
    </row>
    <row r="35" spans="1:8" x14ac:dyDescent="0.2">
      <c r="A35" s="1003" t="s">
        <v>36</v>
      </c>
      <c r="B35" s="1004"/>
      <c r="C35" s="1004"/>
      <c r="D35" s="1004"/>
      <c r="E35" s="1004"/>
      <c r="F35" s="1005"/>
      <c r="G35" s="1006"/>
    </row>
    <row r="36" spans="1:8" x14ac:dyDescent="0.2">
      <c r="A36" s="1023" t="s">
        <v>37</v>
      </c>
      <c r="B36" s="1024"/>
      <c r="C36" s="1024"/>
      <c r="D36" s="1024"/>
      <c r="E36" s="1024"/>
      <c r="F36" s="1024"/>
      <c r="G36" s="1025"/>
      <c r="H36" s="4"/>
    </row>
    <row r="37" spans="1:8" s="7" customFormat="1" x14ac:dyDescent="0.2">
      <c r="A37" s="166" t="s">
        <v>28</v>
      </c>
      <c r="B37" s="1026" t="s">
        <v>38</v>
      </c>
      <c r="C37" s="1027"/>
      <c r="D37" s="1027"/>
      <c r="E37" s="1049"/>
      <c r="F37" s="279">
        <v>8.3299999999999999E-2</v>
      </c>
      <c r="G37" s="106">
        <f>ROUND(G$34*F37,2)</f>
        <v>172.45</v>
      </c>
      <c r="H37" s="346"/>
    </row>
    <row r="38" spans="1:8" x14ac:dyDescent="0.2">
      <c r="A38" s="107" t="s">
        <v>29</v>
      </c>
      <c r="B38" s="1037" t="s">
        <v>397</v>
      </c>
      <c r="C38" s="1038"/>
      <c r="D38" s="1038"/>
      <c r="E38" s="1047"/>
      <c r="F38" s="280">
        <f>ROUND((1/11)+(1/11)/3, 3)</f>
        <v>0.121</v>
      </c>
      <c r="G38" s="281">
        <f>ROUND(G$34*F38,2)</f>
        <v>250.49</v>
      </c>
      <c r="H38" s="4"/>
    </row>
    <row r="39" spans="1:8" x14ac:dyDescent="0.2">
      <c r="A39" s="282"/>
      <c r="B39" s="1048" t="s">
        <v>39</v>
      </c>
      <c r="C39" s="1048"/>
      <c r="D39" s="1048"/>
      <c r="E39" s="1048"/>
      <c r="F39" s="283">
        <f>SUM(F37:F38)</f>
        <v>0.20430000000000001</v>
      </c>
      <c r="G39" s="106"/>
      <c r="H39" s="4"/>
    </row>
    <row r="40" spans="1:8" x14ac:dyDescent="0.2">
      <c r="A40" s="284" t="s">
        <v>30</v>
      </c>
      <c r="B40" s="285" t="s">
        <v>40</v>
      </c>
      <c r="C40" s="286"/>
      <c r="D40" s="286"/>
      <c r="E40" s="286"/>
      <c r="F40" s="287">
        <f>ROUND((F51*F39),4)</f>
        <v>6.9099999999999995E-2</v>
      </c>
      <c r="G40" s="288">
        <f>ROUND(G$34*F40,2)</f>
        <v>143.05000000000001</v>
      </c>
      <c r="H40" s="4"/>
    </row>
    <row r="41" spans="1:8" x14ac:dyDescent="0.2">
      <c r="A41" s="1015" t="s">
        <v>41</v>
      </c>
      <c r="B41" s="1016"/>
      <c r="C41" s="1016"/>
      <c r="D41" s="1016"/>
      <c r="E41" s="1017"/>
      <c r="F41" s="289">
        <f>ROUND(SUM(F39:F40),4)</f>
        <v>0.27339999999999998</v>
      </c>
      <c r="G41" s="290">
        <f>SUM(G37:G40)</f>
        <v>565.99</v>
      </c>
      <c r="H41" s="4">
        <f>ROUND(G34*F41,2)</f>
        <v>565.99</v>
      </c>
    </row>
    <row r="42" spans="1:8" x14ac:dyDescent="0.2">
      <c r="A42" s="1023" t="s">
        <v>118</v>
      </c>
      <c r="B42" s="1024"/>
      <c r="C42" s="1024"/>
      <c r="D42" s="1024"/>
      <c r="E42" s="1024"/>
      <c r="F42" s="1024"/>
      <c r="G42" s="1025"/>
      <c r="H42" s="4"/>
    </row>
    <row r="43" spans="1:8" x14ac:dyDescent="0.2">
      <c r="A43" s="291" t="s">
        <v>28</v>
      </c>
      <c r="B43" s="1026" t="s">
        <v>42</v>
      </c>
      <c r="C43" s="1027"/>
      <c r="D43" s="1027"/>
      <c r="E43" s="1049"/>
      <c r="F43" s="292">
        <v>0.2</v>
      </c>
      <c r="G43" s="293">
        <f t="shared" ref="G43:G50" si="0">ROUND(G$34*F43,2)</f>
        <v>414.04</v>
      </c>
      <c r="H43" s="4"/>
    </row>
    <row r="44" spans="1:8" x14ac:dyDescent="0.2">
      <c r="A44" s="166" t="s">
        <v>29</v>
      </c>
      <c r="B44" s="852" t="s">
        <v>43</v>
      </c>
      <c r="C44" s="853"/>
      <c r="D44" s="853"/>
      <c r="E44" s="866"/>
      <c r="F44" s="279">
        <v>2.5000000000000001E-2</v>
      </c>
      <c r="G44" s="106">
        <f t="shared" si="0"/>
        <v>51.75</v>
      </c>
      <c r="H44" s="4"/>
    </row>
    <row r="45" spans="1:8" x14ac:dyDescent="0.2">
      <c r="A45" s="166" t="s">
        <v>30</v>
      </c>
      <c r="B45" s="852" t="s">
        <v>44</v>
      </c>
      <c r="C45" s="853"/>
      <c r="D45" s="853"/>
      <c r="E45" s="866"/>
      <c r="F45" s="1263">
        <v>0</v>
      </c>
      <c r="G45" s="106">
        <f t="shared" si="0"/>
        <v>0</v>
      </c>
      <c r="H45" s="4"/>
    </row>
    <row r="46" spans="1:8" x14ac:dyDescent="0.2">
      <c r="A46" s="166" t="s">
        <v>31</v>
      </c>
      <c r="B46" s="852" t="s">
        <v>45</v>
      </c>
      <c r="C46" s="853"/>
      <c r="D46" s="853"/>
      <c r="E46" s="866"/>
      <c r="F46" s="1306">
        <v>1.4999999999999999E-2</v>
      </c>
      <c r="G46" s="106">
        <f t="shared" si="0"/>
        <v>31.05</v>
      </c>
      <c r="H46" s="4"/>
    </row>
    <row r="47" spans="1:8" x14ac:dyDescent="0.2">
      <c r="A47" s="166" t="s">
        <v>32</v>
      </c>
      <c r="B47" s="852" t="s">
        <v>46</v>
      </c>
      <c r="C47" s="853"/>
      <c r="D47" s="853"/>
      <c r="E47" s="866"/>
      <c r="F47" s="279">
        <v>0.01</v>
      </c>
      <c r="G47" s="106">
        <f t="shared" si="0"/>
        <v>20.7</v>
      </c>
      <c r="H47" s="4"/>
    </row>
    <row r="48" spans="1:8" x14ac:dyDescent="0.2">
      <c r="A48" s="166" t="s">
        <v>34</v>
      </c>
      <c r="B48" s="852" t="s">
        <v>47</v>
      </c>
      <c r="C48" s="853"/>
      <c r="D48" s="853"/>
      <c r="E48" s="866"/>
      <c r="F48" s="279">
        <v>6.0000000000000001E-3</v>
      </c>
      <c r="G48" s="106">
        <f t="shared" si="0"/>
        <v>12.42</v>
      </c>
      <c r="H48" s="4"/>
    </row>
    <row r="49" spans="1:8" x14ac:dyDescent="0.2">
      <c r="A49" s="166" t="s">
        <v>48</v>
      </c>
      <c r="B49" s="852" t="s">
        <v>49</v>
      </c>
      <c r="C49" s="853"/>
      <c r="D49" s="853"/>
      <c r="E49" s="866"/>
      <c r="F49" s="279">
        <v>2E-3</v>
      </c>
      <c r="G49" s="106">
        <f t="shared" si="0"/>
        <v>4.1399999999999997</v>
      </c>
      <c r="H49" s="4"/>
    </row>
    <row r="50" spans="1:8" x14ac:dyDescent="0.2">
      <c r="A50" s="107" t="s">
        <v>50</v>
      </c>
      <c r="B50" s="1037" t="s">
        <v>51</v>
      </c>
      <c r="C50" s="1038"/>
      <c r="D50" s="1038"/>
      <c r="E50" s="1047"/>
      <c r="F50" s="280">
        <v>0.08</v>
      </c>
      <c r="G50" s="281">
        <f t="shared" si="0"/>
        <v>165.61</v>
      </c>
      <c r="H50" s="4"/>
    </row>
    <row r="51" spans="1:8" x14ac:dyDescent="0.2">
      <c r="A51" s="1015" t="s">
        <v>52</v>
      </c>
      <c r="B51" s="1016"/>
      <c r="C51" s="1016"/>
      <c r="D51" s="1016"/>
      <c r="E51" s="1017"/>
      <c r="F51" s="289">
        <f>SUM(F43:F50)</f>
        <v>0.33800000000000002</v>
      </c>
      <c r="G51" s="290">
        <f>SUM(G43:G50)</f>
        <v>699.71</v>
      </c>
      <c r="H51" s="4">
        <f>ROUND(G34*F51,2)</f>
        <v>699.72</v>
      </c>
    </row>
    <row r="52" spans="1:8" x14ac:dyDescent="0.2">
      <c r="A52" s="1023" t="s">
        <v>53</v>
      </c>
      <c r="B52" s="1024"/>
      <c r="C52" s="1024"/>
      <c r="D52" s="1024"/>
      <c r="E52" s="1024"/>
      <c r="F52" s="1024"/>
      <c r="G52" s="1025"/>
      <c r="H52" s="4"/>
    </row>
    <row r="53" spans="1:8" x14ac:dyDescent="0.2">
      <c r="A53" s="294" t="s">
        <v>28</v>
      </c>
      <c r="B53" s="1045" t="s">
        <v>54</v>
      </c>
      <c r="C53" s="1046"/>
      <c r="D53" s="1046"/>
      <c r="E53" s="1304">
        <v>0</v>
      </c>
      <c r="F53" s="295">
        <v>42</v>
      </c>
      <c r="G53" s="296">
        <f>IF(ROUND((E53*F53)-(G27*0.06),2)&lt;0,0,ROUND((E53*F53)-(G27*0.06),2))</f>
        <v>0</v>
      </c>
      <c r="H53" s="4"/>
    </row>
    <row r="54" spans="1:8" x14ac:dyDescent="0.2">
      <c r="A54" s="297" t="s">
        <v>29</v>
      </c>
      <c r="B54" s="858" t="s">
        <v>56</v>
      </c>
      <c r="C54" s="859"/>
      <c r="D54" s="859"/>
      <c r="E54" s="298">
        <f>20.76-1.39</f>
        <v>19.37</v>
      </c>
      <c r="F54" s="299">
        <v>21</v>
      </c>
      <c r="G54" s="275">
        <f t="shared" ref="G54:G62" si="1">ROUND((E54*F54),2)</f>
        <v>406.77</v>
      </c>
      <c r="H54" s="4"/>
    </row>
    <row r="55" spans="1:8" x14ac:dyDescent="0.2">
      <c r="A55" s="297" t="s">
        <v>30</v>
      </c>
      <c r="B55" s="858" t="s">
        <v>58</v>
      </c>
      <c r="C55" s="859"/>
      <c r="D55" s="859"/>
      <c r="E55" s="298">
        <v>144.68</v>
      </c>
      <c r="F55" s="299">
        <v>1</v>
      </c>
      <c r="G55" s="275">
        <f t="shared" si="1"/>
        <v>144.68</v>
      </c>
      <c r="H55" s="4"/>
    </row>
    <row r="56" spans="1:8" x14ac:dyDescent="0.2">
      <c r="A56" s="297" t="s">
        <v>31</v>
      </c>
      <c r="B56" s="858" t="s">
        <v>149</v>
      </c>
      <c r="C56" s="859"/>
      <c r="D56" s="859"/>
      <c r="E56" s="298">
        <v>35.33</v>
      </c>
      <c r="F56" s="299">
        <v>1</v>
      </c>
      <c r="G56" s="275">
        <f t="shared" si="1"/>
        <v>35.33</v>
      </c>
      <c r="H56" s="4"/>
    </row>
    <row r="57" spans="1:8" x14ac:dyDescent="0.2">
      <c r="A57" s="297" t="s">
        <v>32</v>
      </c>
      <c r="B57" s="858" t="s">
        <v>179</v>
      </c>
      <c r="C57" s="859"/>
      <c r="D57" s="859"/>
      <c r="E57" s="1265">
        <f>ROUND((F18*30%)*5%,2)*0</f>
        <v>0</v>
      </c>
      <c r="F57" s="299">
        <v>1</v>
      </c>
      <c r="G57" s="275">
        <f t="shared" si="1"/>
        <v>0</v>
      </c>
      <c r="H57" s="4"/>
    </row>
    <row r="58" spans="1:8" x14ac:dyDescent="0.2">
      <c r="A58" s="297" t="s">
        <v>34</v>
      </c>
      <c r="B58" s="858" t="s">
        <v>150</v>
      </c>
      <c r="C58" s="859"/>
      <c r="D58" s="859"/>
      <c r="E58" s="298">
        <f>20.76</f>
        <v>20.76</v>
      </c>
      <c r="F58" s="299">
        <v>1</v>
      </c>
      <c r="G58" s="275">
        <f t="shared" si="1"/>
        <v>20.76</v>
      </c>
      <c r="H58" s="4"/>
    </row>
    <row r="59" spans="1:8" x14ac:dyDescent="0.2">
      <c r="A59" s="297" t="s">
        <v>48</v>
      </c>
      <c r="B59" s="858" t="s">
        <v>180</v>
      </c>
      <c r="C59" s="859"/>
      <c r="D59" s="859"/>
      <c r="E59" s="340">
        <f>15.96</f>
        <v>15.96</v>
      </c>
      <c r="F59" s="299">
        <v>1</v>
      </c>
      <c r="G59" s="275">
        <f t="shared" si="1"/>
        <v>15.96</v>
      </c>
      <c r="H59" s="4"/>
    </row>
    <row r="60" spans="1:8" x14ac:dyDescent="0.2">
      <c r="A60" s="297" t="s">
        <v>50</v>
      </c>
      <c r="B60" s="1041" t="s">
        <v>254</v>
      </c>
      <c r="C60" s="863"/>
      <c r="D60" s="863"/>
      <c r="E60" s="341">
        <v>300</v>
      </c>
      <c r="F60" s="299">
        <v>1</v>
      </c>
      <c r="G60" s="275">
        <f t="shared" si="1"/>
        <v>300</v>
      </c>
      <c r="H60" s="4"/>
    </row>
    <row r="61" spans="1:8" x14ac:dyDescent="0.2">
      <c r="A61" s="366" t="s">
        <v>151</v>
      </c>
      <c r="B61" s="862" t="s">
        <v>152</v>
      </c>
      <c r="C61" s="863"/>
      <c r="D61" s="863"/>
      <c r="E61" s="341">
        <v>0</v>
      </c>
      <c r="F61" s="299">
        <v>1</v>
      </c>
      <c r="G61" s="275">
        <f t="shared" si="1"/>
        <v>0</v>
      </c>
      <c r="H61" s="4"/>
    </row>
    <row r="62" spans="1:8" x14ac:dyDescent="0.2">
      <c r="A62" s="297" t="s">
        <v>414</v>
      </c>
      <c r="B62" s="1042" t="s">
        <v>152</v>
      </c>
      <c r="C62" s="1043"/>
      <c r="D62" s="1043"/>
      <c r="E62" s="300">
        <v>0</v>
      </c>
      <c r="F62" s="299">
        <v>1</v>
      </c>
      <c r="G62" s="275">
        <f t="shared" si="1"/>
        <v>0</v>
      </c>
      <c r="H62" s="4"/>
    </row>
    <row r="63" spans="1:8" x14ac:dyDescent="0.2">
      <c r="A63" s="1044" t="s">
        <v>60</v>
      </c>
      <c r="B63" s="998"/>
      <c r="C63" s="998"/>
      <c r="D63" s="998"/>
      <c r="E63" s="998"/>
      <c r="F63" s="999"/>
      <c r="G63" s="278">
        <f>SUM(G53:G62)</f>
        <v>923.5</v>
      </c>
      <c r="H63" s="4"/>
    </row>
    <row r="64" spans="1:8" x14ac:dyDescent="0.2">
      <c r="A64" s="1003" t="s">
        <v>61</v>
      </c>
      <c r="B64" s="1004"/>
      <c r="C64" s="1004"/>
      <c r="D64" s="1004"/>
      <c r="E64" s="1004"/>
      <c r="F64" s="1005"/>
      <c r="G64" s="1006"/>
      <c r="H64" s="4"/>
    </row>
    <row r="65" spans="1:8" x14ac:dyDescent="0.2">
      <c r="A65" s="301" t="s">
        <v>62</v>
      </c>
      <c r="B65" s="1007" t="s">
        <v>63</v>
      </c>
      <c r="C65" s="1008"/>
      <c r="D65" s="1008"/>
      <c r="E65" s="1008"/>
      <c r="F65" s="302">
        <f>F41</f>
        <v>0.27339999999999998</v>
      </c>
      <c r="G65" s="303">
        <f>G41</f>
        <v>565.99</v>
      </c>
      <c r="H65" s="4"/>
    </row>
    <row r="66" spans="1:8" x14ac:dyDescent="0.2">
      <c r="A66" s="304" t="s">
        <v>64</v>
      </c>
      <c r="B66" s="992" t="s">
        <v>128</v>
      </c>
      <c r="C66" s="807"/>
      <c r="D66" s="807"/>
      <c r="E66" s="807"/>
      <c r="F66" s="18">
        <f>F51</f>
        <v>0.33800000000000002</v>
      </c>
      <c r="G66" s="305">
        <f>G51</f>
        <v>699.71</v>
      </c>
      <c r="H66" s="4"/>
    </row>
    <row r="67" spans="1:8" x14ac:dyDescent="0.2">
      <c r="A67" s="304" t="s">
        <v>65</v>
      </c>
      <c r="B67" s="992" t="s">
        <v>66</v>
      </c>
      <c r="C67" s="807"/>
      <c r="D67" s="807"/>
      <c r="E67" s="807"/>
      <c r="F67" s="808"/>
      <c r="G67" s="305">
        <f>G63</f>
        <v>923.5</v>
      </c>
      <c r="H67" s="4"/>
    </row>
    <row r="68" spans="1:8" x14ac:dyDescent="0.2">
      <c r="A68" s="997" t="s">
        <v>67</v>
      </c>
      <c r="B68" s="998"/>
      <c r="C68" s="998"/>
      <c r="D68" s="998"/>
      <c r="E68" s="998"/>
      <c r="F68" s="999"/>
      <c r="G68" s="278">
        <f>SUM(G65:G67)</f>
        <v>2189.1999999999998</v>
      </c>
      <c r="H68" s="4"/>
    </row>
    <row r="69" spans="1:8" x14ac:dyDescent="0.2">
      <c r="A69" s="1003" t="s">
        <v>68</v>
      </c>
      <c r="B69" s="1004"/>
      <c r="C69" s="1004"/>
      <c r="D69" s="1004"/>
      <c r="E69" s="1004"/>
      <c r="F69" s="1005"/>
      <c r="G69" s="1006"/>
      <c r="H69" s="4"/>
    </row>
    <row r="70" spans="1:8" s="21" customFormat="1" x14ac:dyDescent="0.2">
      <c r="A70" s="271">
        <v>3</v>
      </c>
      <c r="B70" s="306" t="s">
        <v>69</v>
      </c>
      <c r="C70" s="306"/>
      <c r="D70" s="306"/>
      <c r="E70" s="306"/>
      <c r="F70" s="306"/>
      <c r="G70" s="307"/>
      <c r="H70" s="4"/>
    </row>
    <row r="71" spans="1:8" x14ac:dyDescent="0.2">
      <c r="A71" s="308" t="s">
        <v>28</v>
      </c>
      <c r="B71" s="844" t="s">
        <v>70</v>
      </c>
      <c r="C71" s="845"/>
      <c r="D71" s="845"/>
      <c r="E71" s="845"/>
      <c r="F71" s="1267">
        <f>ROUND((1/12)*0.05,4)*0</f>
        <v>0</v>
      </c>
      <c r="G71" s="309">
        <f t="shared" ref="G71:G76" si="2">ROUND(G$34*F71,2)</f>
        <v>0</v>
      </c>
      <c r="H71" s="4"/>
    </row>
    <row r="72" spans="1:8" x14ac:dyDescent="0.2">
      <c r="A72" s="310" t="s">
        <v>29</v>
      </c>
      <c r="B72" s="800" t="s">
        <v>71</v>
      </c>
      <c r="C72" s="801"/>
      <c r="D72" s="801"/>
      <c r="E72" s="801"/>
      <c r="F72" s="1269">
        <f>ROUND((F71*F50),4)*0</f>
        <v>0</v>
      </c>
      <c r="G72" s="311">
        <f t="shared" si="2"/>
        <v>0</v>
      </c>
      <c r="H72" s="4"/>
    </row>
    <row r="73" spans="1:8" x14ac:dyDescent="0.2">
      <c r="A73" s="310" t="s">
        <v>30</v>
      </c>
      <c r="B73" s="800" t="s">
        <v>398</v>
      </c>
      <c r="C73" s="801"/>
      <c r="D73" s="801"/>
      <c r="E73" s="801"/>
      <c r="F73" s="1269">
        <f>ROUND((0.08*0.4*0.9)*(1+0.09+0.09+0.3),2)*0</f>
        <v>0</v>
      </c>
      <c r="G73" s="311">
        <f t="shared" si="2"/>
        <v>0</v>
      </c>
      <c r="H73" s="4"/>
    </row>
    <row r="74" spans="1:8" x14ac:dyDescent="0.2">
      <c r="A74" s="310" t="s">
        <v>31</v>
      </c>
      <c r="B74" s="800" t="s">
        <v>72</v>
      </c>
      <c r="C74" s="801"/>
      <c r="D74" s="801"/>
      <c r="E74" s="801"/>
      <c r="F74" s="1269">
        <f>ROUND(100%/30*7/12*100%,4)*0</f>
        <v>0</v>
      </c>
      <c r="G74" s="311">
        <f t="shared" si="2"/>
        <v>0</v>
      </c>
      <c r="H74" s="4"/>
    </row>
    <row r="75" spans="1:8" s="3" customFormat="1" x14ac:dyDescent="0.2">
      <c r="A75" s="310" t="s">
        <v>32</v>
      </c>
      <c r="B75" s="800" t="s">
        <v>119</v>
      </c>
      <c r="C75" s="801"/>
      <c r="D75" s="801"/>
      <c r="E75" s="801"/>
      <c r="F75" s="314">
        <f>ROUND(F74*F51,4)</f>
        <v>0</v>
      </c>
      <c r="G75" s="311">
        <f t="shared" si="2"/>
        <v>0</v>
      </c>
      <c r="H75" s="4"/>
    </row>
    <row r="76" spans="1:8" x14ac:dyDescent="0.2">
      <c r="A76" s="310" t="s">
        <v>34</v>
      </c>
      <c r="B76" s="847" t="s">
        <v>135</v>
      </c>
      <c r="C76" s="848"/>
      <c r="D76" s="848"/>
      <c r="E76" s="848"/>
      <c r="F76" s="342">
        <v>0</v>
      </c>
      <c r="G76" s="312">
        <f t="shared" si="2"/>
        <v>0</v>
      </c>
      <c r="H76" s="4"/>
    </row>
    <row r="77" spans="1:8" x14ac:dyDescent="0.2">
      <c r="A77" s="997" t="s">
        <v>73</v>
      </c>
      <c r="B77" s="998"/>
      <c r="C77" s="998"/>
      <c r="D77" s="998"/>
      <c r="E77" s="998"/>
      <c r="F77" s="322">
        <f>SUM(F71:F76)</f>
        <v>0</v>
      </c>
      <c r="G77" s="313">
        <f>SUM(G71:G76)</f>
        <v>0</v>
      </c>
      <c r="H77" s="4">
        <f>ROUND(G34*F77,2)</f>
        <v>0</v>
      </c>
    </row>
    <row r="78" spans="1:8" x14ac:dyDescent="0.2">
      <c r="A78" s="1003" t="s">
        <v>74</v>
      </c>
      <c r="B78" s="1004"/>
      <c r="C78" s="1004"/>
      <c r="D78" s="1004"/>
      <c r="E78" s="1004"/>
      <c r="F78" s="1005"/>
      <c r="G78" s="1006"/>
      <c r="H78" s="4"/>
    </row>
    <row r="79" spans="1:8" s="21" customFormat="1" x14ac:dyDescent="0.2">
      <c r="A79" s="1023" t="s">
        <v>120</v>
      </c>
      <c r="B79" s="1024"/>
      <c r="C79" s="1024"/>
      <c r="D79" s="1024"/>
      <c r="E79" s="1024"/>
      <c r="F79" s="1024"/>
      <c r="G79" s="1025"/>
      <c r="H79" s="4"/>
    </row>
    <row r="80" spans="1:8" x14ac:dyDescent="0.2">
      <c r="A80" s="291" t="s">
        <v>28</v>
      </c>
      <c r="B80" s="1039" t="s">
        <v>400</v>
      </c>
      <c r="C80" s="1040"/>
      <c r="D80" s="1040"/>
      <c r="E80" s="1040"/>
      <c r="F80" s="292">
        <v>0</v>
      </c>
      <c r="G80" s="309">
        <f t="shared" ref="G80:G85" si="3">ROUND(G$34*F80,2)</f>
        <v>0</v>
      </c>
      <c r="H80" s="4"/>
    </row>
    <row r="81" spans="1:8" x14ac:dyDescent="0.2">
      <c r="A81" s="166" t="s">
        <v>29</v>
      </c>
      <c r="B81" s="852" t="s">
        <v>121</v>
      </c>
      <c r="C81" s="853"/>
      <c r="D81" s="853"/>
      <c r="E81" s="853"/>
      <c r="F81" s="1271">
        <f>ROUND(((1/30)/12)*1,4)*0</f>
        <v>0</v>
      </c>
      <c r="G81" s="311">
        <f t="shared" si="3"/>
        <v>0</v>
      </c>
      <c r="H81" s="4"/>
    </row>
    <row r="82" spans="1:8" x14ac:dyDescent="0.2">
      <c r="A82" s="166" t="s">
        <v>30</v>
      </c>
      <c r="B82" s="852" t="s">
        <v>122</v>
      </c>
      <c r="C82" s="853"/>
      <c r="D82" s="853"/>
      <c r="E82" s="853"/>
      <c r="F82" s="1271">
        <f>ROUND((((1/30)/12)*5)*0.02,4)*0</f>
        <v>0</v>
      </c>
      <c r="G82" s="311">
        <f t="shared" si="3"/>
        <v>0</v>
      </c>
      <c r="H82" s="4"/>
    </row>
    <row r="83" spans="1:8" x14ac:dyDescent="0.2">
      <c r="A83" s="166" t="s">
        <v>31</v>
      </c>
      <c r="B83" s="852" t="s">
        <v>123</v>
      </c>
      <c r="C83" s="853"/>
      <c r="D83" s="853"/>
      <c r="E83" s="853"/>
      <c r="F83" s="1271">
        <f>ROUND((((1/30)/12)*15)*0.05,4)*0</f>
        <v>0</v>
      </c>
      <c r="G83" s="311">
        <f t="shared" si="3"/>
        <v>0</v>
      </c>
      <c r="H83" s="4"/>
    </row>
    <row r="84" spans="1:8" x14ac:dyDescent="0.2">
      <c r="A84" s="166" t="s">
        <v>32</v>
      </c>
      <c r="B84" s="1035" t="s">
        <v>401</v>
      </c>
      <c r="C84" s="1036"/>
      <c r="D84" s="1036"/>
      <c r="E84" s="1036"/>
      <c r="F84" s="279">
        <v>0</v>
      </c>
      <c r="G84" s="311">
        <f t="shared" si="3"/>
        <v>0</v>
      </c>
      <c r="H84" s="4"/>
    </row>
    <row r="85" spans="1:8" x14ac:dyDescent="0.2">
      <c r="A85" s="166" t="s">
        <v>34</v>
      </c>
      <c r="B85" s="1037" t="s">
        <v>124</v>
      </c>
      <c r="C85" s="1038"/>
      <c r="D85" s="1038"/>
      <c r="E85" s="1038"/>
      <c r="F85" s="1273">
        <f>ROUND((((1/30)/12)*5)*0.5,4)*0</f>
        <v>0</v>
      </c>
      <c r="G85" s="312">
        <f t="shared" si="3"/>
        <v>0</v>
      </c>
      <c r="H85" s="4"/>
    </row>
    <row r="86" spans="1:8" x14ac:dyDescent="0.2">
      <c r="A86" s="1031" t="s">
        <v>75</v>
      </c>
      <c r="B86" s="1017"/>
      <c r="C86" s="1017"/>
      <c r="D86" s="1017"/>
      <c r="E86" s="1017"/>
      <c r="F86" s="289">
        <f>SUM(F80:F85)</f>
        <v>0</v>
      </c>
      <c r="G86" s="290">
        <f>SUM(G80:G85)</f>
        <v>0</v>
      </c>
      <c r="H86" s="4">
        <f>ROUND(G34*F86,2)</f>
        <v>0</v>
      </c>
    </row>
    <row r="87" spans="1:8" s="21" customFormat="1" x14ac:dyDescent="0.2">
      <c r="A87" s="1032" t="s">
        <v>76</v>
      </c>
      <c r="B87" s="1033"/>
      <c r="C87" s="1033"/>
      <c r="D87" s="1033"/>
      <c r="E87" s="1033"/>
      <c r="F87" s="1033"/>
      <c r="G87" s="1034"/>
      <c r="H87" s="4"/>
    </row>
    <row r="88" spans="1:8" x14ac:dyDescent="0.2">
      <c r="A88" s="308" t="s">
        <v>28</v>
      </c>
      <c r="B88" s="844" t="s">
        <v>77</v>
      </c>
      <c r="C88" s="845"/>
      <c r="D88" s="845"/>
      <c r="E88" s="845"/>
      <c r="F88" s="1267">
        <f xml:space="preserve"> ROUND((((ROUND((1/11)+(1/11)/3, 3))*4)/12)*1%,4)*0</f>
        <v>0</v>
      </c>
      <c r="G88" s="309">
        <f>ROUND(G$34*F88,2)</f>
        <v>0</v>
      </c>
      <c r="H88" s="4"/>
    </row>
    <row r="89" spans="1:8" x14ac:dyDescent="0.2">
      <c r="A89" s="310" t="s">
        <v>29</v>
      </c>
      <c r="B89" s="800" t="s">
        <v>78</v>
      </c>
      <c r="C89" s="801"/>
      <c r="D89" s="801"/>
      <c r="E89" s="801"/>
      <c r="F89" s="314">
        <f>ROUND(F88*F51,4)</f>
        <v>0</v>
      </c>
      <c r="G89" s="311">
        <f>ROUND(G$34*F89,2)</f>
        <v>0</v>
      </c>
      <c r="H89" s="4"/>
    </row>
    <row r="90" spans="1:8" x14ac:dyDescent="0.2">
      <c r="A90" s="310" t="s">
        <v>30</v>
      </c>
      <c r="B90" s="800" t="s">
        <v>79</v>
      </c>
      <c r="C90" s="801"/>
      <c r="D90" s="801"/>
      <c r="E90" s="801"/>
      <c r="F90" s="1269">
        <f>ROUND(ROUND(ROUND(((1+1/12)*4)/12,4)*1%,4)*F51,4)*0</f>
        <v>0</v>
      </c>
      <c r="G90" s="311">
        <f>ROUND(G$34*F90,2)</f>
        <v>0</v>
      </c>
      <c r="H90" s="4"/>
    </row>
    <row r="91" spans="1:8" x14ac:dyDescent="0.2">
      <c r="A91" s="310" t="s">
        <v>31</v>
      </c>
      <c r="B91" s="800" t="s">
        <v>59</v>
      </c>
      <c r="C91" s="801"/>
      <c r="D91" s="801"/>
      <c r="E91" s="801"/>
      <c r="F91" s="314">
        <v>0</v>
      </c>
      <c r="G91" s="312">
        <f>ROUND(G$34*F91,2)</f>
        <v>0</v>
      </c>
      <c r="H91" s="4"/>
    </row>
    <row r="92" spans="1:8" x14ac:dyDescent="0.2">
      <c r="A92" s="1022" t="s">
        <v>80</v>
      </c>
      <c r="B92" s="999"/>
      <c r="C92" s="999"/>
      <c r="D92" s="999"/>
      <c r="E92" s="999"/>
      <c r="F92" s="315">
        <f>SUM(F88:F91)</f>
        <v>0</v>
      </c>
      <c r="G92" s="316">
        <f>SUM(G88:G91)</f>
        <v>0</v>
      </c>
      <c r="H92" s="4">
        <f>ROUND(G34*F92,2)</f>
        <v>0</v>
      </c>
    </row>
    <row r="93" spans="1:8" s="21" customFormat="1" x14ac:dyDescent="0.2">
      <c r="A93" s="1032" t="s">
        <v>81</v>
      </c>
      <c r="B93" s="1033"/>
      <c r="C93" s="1033"/>
      <c r="D93" s="1033"/>
      <c r="E93" s="1033"/>
      <c r="F93" s="1033"/>
      <c r="G93" s="1034"/>
      <c r="H93" s="4"/>
    </row>
    <row r="94" spans="1:8" x14ac:dyDescent="0.2">
      <c r="A94" s="1284" t="s">
        <v>28</v>
      </c>
      <c r="B94" s="1285" t="s">
        <v>82</v>
      </c>
      <c r="C94" s="1286"/>
      <c r="D94" s="1286"/>
      <c r="E94" s="1286"/>
      <c r="F94" s="1287">
        <f>((1/220)*22)*0</f>
        <v>0</v>
      </c>
      <c r="G94" s="1288">
        <f>ROUND(G$34*F94,2)</f>
        <v>0</v>
      </c>
      <c r="H94" s="4"/>
    </row>
    <row r="95" spans="1:8" x14ac:dyDescent="0.2">
      <c r="A95" s="1284" t="s">
        <v>29</v>
      </c>
      <c r="B95" s="1289" t="s">
        <v>191</v>
      </c>
      <c r="C95" s="1290"/>
      <c r="D95" s="1290"/>
      <c r="E95" s="1291"/>
      <c r="F95" s="1292">
        <f>F94*F51</f>
        <v>0</v>
      </c>
      <c r="G95" s="1288">
        <f>ROUND(G$34*F95,2)</f>
        <v>0</v>
      </c>
      <c r="H95" s="4"/>
    </row>
    <row r="96" spans="1:8" x14ac:dyDescent="0.2">
      <c r="A96" s="1022" t="s">
        <v>83</v>
      </c>
      <c r="B96" s="999"/>
      <c r="C96" s="999"/>
      <c r="D96" s="999"/>
      <c r="E96" s="999"/>
      <c r="F96" s="315">
        <f>SUM(F94:F95)</f>
        <v>0</v>
      </c>
      <c r="G96" s="316">
        <f>SUM(G94:G94)</f>
        <v>0</v>
      </c>
      <c r="H96" s="4">
        <f>ROUND(G34*F96,2)</f>
        <v>0</v>
      </c>
    </row>
    <row r="97" spans="1:9" s="45" customFormat="1" x14ac:dyDescent="0.2">
      <c r="A97" s="1023" t="s">
        <v>125</v>
      </c>
      <c r="B97" s="1024"/>
      <c r="C97" s="1024"/>
      <c r="D97" s="1024"/>
      <c r="E97" s="1024"/>
      <c r="F97" s="1024"/>
      <c r="G97" s="1025"/>
      <c r="H97" s="35"/>
    </row>
    <row r="98" spans="1:9" s="34" customFormat="1" x14ac:dyDescent="0.2">
      <c r="A98" s="291" t="s">
        <v>28</v>
      </c>
      <c r="B98" s="1026" t="s">
        <v>126</v>
      </c>
      <c r="C98" s="1027"/>
      <c r="D98" s="1027"/>
      <c r="E98" s="1027"/>
      <c r="F98" s="1293">
        <f>((((8*13)/12)/220)+((((8*13)/12)/220)*100%))*0</f>
        <v>0</v>
      </c>
      <c r="G98" s="309">
        <f>ROUND(G$34*F98,2)</f>
        <v>0</v>
      </c>
      <c r="H98" s="35"/>
    </row>
    <row r="99" spans="1:9" s="34" customFormat="1" x14ac:dyDescent="0.2">
      <c r="A99" s="291" t="s">
        <v>29</v>
      </c>
      <c r="B99" s="1028" t="s">
        <v>191</v>
      </c>
      <c r="C99" s="1029"/>
      <c r="D99" s="1029"/>
      <c r="E99" s="1030"/>
      <c r="F99" s="343">
        <f>F98*F51</f>
        <v>0</v>
      </c>
      <c r="G99" s="309">
        <f>ROUND(G$34*F99,2)</f>
        <v>0</v>
      </c>
      <c r="H99" s="35"/>
    </row>
    <row r="100" spans="1:9" s="34" customFormat="1" x14ac:dyDescent="0.2">
      <c r="A100" s="1031" t="s">
        <v>127</v>
      </c>
      <c r="B100" s="1017"/>
      <c r="C100" s="1017"/>
      <c r="D100" s="1017"/>
      <c r="E100" s="1017"/>
      <c r="F100" s="289">
        <f>SUM(F98:F99)</f>
        <v>0</v>
      </c>
      <c r="G100" s="290">
        <f>SUM(G98:G98)</f>
        <v>0</v>
      </c>
      <c r="H100" s="35">
        <f>ROUND(G44*F100,2)</f>
        <v>0</v>
      </c>
    </row>
    <row r="101" spans="1:9" x14ac:dyDescent="0.2">
      <c r="A101" s="1003" t="s">
        <v>84</v>
      </c>
      <c r="B101" s="1004"/>
      <c r="C101" s="1004"/>
      <c r="D101" s="1004"/>
      <c r="E101" s="1004"/>
      <c r="F101" s="1005"/>
      <c r="G101" s="1006"/>
      <c r="H101" s="4"/>
    </row>
    <row r="102" spans="1:9" x14ac:dyDescent="0.2">
      <c r="A102" s="301" t="s">
        <v>85</v>
      </c>
      <c r="B102" s="1007" t="s">
        <v>129</v>
      </c>
      <c r="C102" s="1008"/>
      <c r="D102" s="1008"/>
      <c r="E102" s="1008"/>
      <c r="F102" s="302">
        <f>F86</f>
        <v>0</v>
      </c>
      <c r="G102" s="303">
        <f>G86</f>
        <v>0</v>
      </c>
      <c r="H102" s="4"/>
    </row>
    <row r="103" spans="1:9" x14ac:dyDescent="0.2">
      <c r="A103" s="304" t="s">
        <v>86</v>
      </c>
      <c r="B103" s="992" t="s">
        <v>87</v>
      </c>
      <c r="C103" s="807"/>
      <c r="D103" s="807"/>
      <c r="E103" s="807"/>
      <c r="F103" s="18">
        <f>F92</f>
        <v>0</v>
      </c>
      <c r="G103" s="305">
        <f>G92</f>
        <v>0</v>
      </c>
      <c r="H103" s="4"/>
    </row>
    <row r="104" spans="1:9" x14ac:dyDescent="0.2">
      <c r="A104" s="304" t="s">
        <v>88</v>
      </c>
      <c r="B104" s="992" t="s">
        <v>89</v>
      </c>
      <c r="C104" s="807"/>
      <c r="D104" s="807"/>
      <c r="E104" s="807"/>
      <c r="F104" s="18">
        <f>F96</f>
        <v>0</v>
      </c>
      <c r="G104" s="305">
        <f>G96</f>
        <v>0</v>
      </c>
      <c r="H104" s="4"/>
    </row>
    <row r="105" spans="1:9" x14ac:dyDescent="0.2">
      <c r="A105" s="304" t="s">
        <v>131</v>
      </c>
      <c r="B105" s="994" t="s">
        <v>399</v>
      </c>
      <c r="C105" s="995"/>
      <c r="D105" s="995"/>
      <c r="E105" s="995"/>
      <c r="F105" s="18">
        <f>F100</f>
        <v>0</v>
      </c>
      <c r="G105" s="305">
        <f>G100</f>
        <v>0</v>
      </c>
      <c r="H105" s="4"/>
    </row>
    <row r="106" spans="1:9" x14ac:dyDescent="0.2">
      <c r="A106" s="997" t="s">
        <v>90</v>
      </c>
      <c r="B106" s="998"/>
      <c r="C106" s="998"/>
      <c r="D106" s="998"/>
      <c r="E106" s="998"/>
      <c r="F106" s="999"/>
      <c r="G106" s="278">
        <f>SUM(G102:G105)</f>
        <v>0</v>
      </c>
      <c r="H106" s="4"/>
      <c r="I106" s="317">
        <f>SUM(F100,F96,F92,F86,F77,F65,F66)</f>
        <v>0.61140000000000005</v>
      </c>
    </row>
    <row r="107" spans="1:9" x14ac:dyDescent="0.2">
      <c r="A107" s="1003" t="s">
        <v>91</v>
      </c>
      <c r="B107" s="1004"/>
      <c r="C107" s="1004"/>
      <c r="D107" s="1004"/>
      <c r="E107" s="1004"/>
      <c r="F107" s="1005"/>
      <c r="G107" s="1006"/>
      <c r="H107" s="4"/>
    </row>
    <row r="108" spans="1:9" x14ac:dyDescent="0.2">
      <c r="A108" s="308" t="s">
        <v>28</v>
      </c>
      <c r="B108" s="1018" t="str">
        <f>'Uniformes e EPI''s'!A5</f>
        <v>UNIFORMES</v>
      </c>
      <c r="C108" s="1019"/>
      <c r="D108" s="1019"/>
      <c r="E108" s="344">
        <f>'Uniformes e EPI''s'!G17</f>
        <v>0</v>
      </c>
      <c r="F108" s="318">
        <v>1</v>
      </c>
      <c r="G108" s="275">
        <f>ROUND((E108*F108),2)</f>
        <v>0</v>
      </c>
      <c r="H108" s="4"/>
    </row>
    <row r="109" spans="1:9" s="34" customFormat="1" x14ac:dyDescent="0.2">
      <c r="A109" s="166" t="s">
        <v>29</v>
      </c>
      <c r="B109" s="1020" t="str">
        <f>'Uniformes e EPI''s'!A19</f>
        <v>EPI's</v>
      </c>
      <c r="C109" s="1021"/>
      <c r="D109" s="1021"/>
      <c r="E109" s="341">
        <f>'Uniformes e EPI''s'!F39</f>
        <v>0</v>
      </c>
      <c r="F109" s="46">
        <v>1</v>
      </c>
      <c r="G109" s="275">
        <f t="shared" ref="G109:G115" si="4">ROUND((E109*F109),2)</f>
        <v>0</v>
      </c>
      <c r="H109" s="35"/>
    </row>
    <row r="110" spans="1:9" s="34" customFormat="1" x14ac:dyDescent="0.2">
      <c r="A110" s="166" t="s">
        <v>30</v>
      </c>
      <c r="B110" s="800" t="s">
        <v>59</v>
      </c>
      <c r="C110" s="801"/>
      <c r="D110" s="801"/>
      <c r="E110" s="341">
        <v>0</v>
      </c>
      <c r="F110" s="47">
        <v>1</v>
      </c>
      <c r="G110" s="275">
        <f t="shared" si="4"/>
        <v>0</v>
      </c>
      <c r="H110" s="35"/>
    </row>
    <row r="111" spans="1:9" s="34" customFormat="1" x14ac:dyDescent="0.2">
      <c r="A111" s="166" t="s">
        <v>31</v>
      </c>
      <c r="B111" s="800" t="s">
        <v>59</v>
      </c>
      <c r="C111" s="801"/>
      <c r="D111" s="801"/>
      <c r="E111" s="341">
        <v>0</v>
      </c>
      <c r="F111" s="47">
        <v>1</v>
      </c>
      <c r="G111" s="275">
        <f t="shared" si="4"/>
        <v>0</v>
      </c>
      <c r="H111" s="35"/>
    </row>
    <row r="112" spans="1:9" s="34" customFormat="1" x14ac:dyDescent="0.2">
      <c r="A112" s="166" t="s">
        <v>32</v>
      </c>
      <c r="B112" s="800" t="s">
        <v>59</v>
      </c>
      <c r="C112" s="801"/>
      <c r="D112" s="801"/>
      <c r="E112" s="341">
        <v>0</v>
      </c>
      <c r="F112" s="47">
        <v>1</v>
      </c>
      <c r="G112" s="275">
        <f t="shared" si="4"/>
        <v>0</v>
      </c>
      <c r="H112" s="35"/>
    </row>
    <row r="113" spans="1:8" s="34" customFormat="1" x14ac:dyDescent="0.2">
      <c r="A113" s="166" t="s">
        <v>34</v>
      </c>
      <c r="B113" s="800" t="s">
        <v>59</v>
      </c>
      <c r="C113" s="801"/>
      <c r="D113" s="801"/>
      <c r="E113" s="341">
        <v>0</v>
      </c>
      <c r="F113" s="47">
        <v>1</v>
      </c>
      <c r="G113" s="275">
        <f>ROUND((E113*F113)/12,2)</f>
        <v>0</v>
      </c>
      <c r="H113" s="35"/>
    </row>
    <row r="114" spans="1:8" s="34" customFormat="1" x14ac:dyDescent="0.2">
      <c r="A114" s="166" t="s">
        <v>48</v>
      </c>
      <c r="B114" s="800" t="s">
        <v>59</v>
      </c>
      <c r="C114" s="801"/>
      <c r="D114" s="801"/>
      <c r="E114" s="341">
        <v>0</v>
      </c>
      <c r="F114" s="47">
        <v>1</v>
      </c>
      <c r="G114" s="275">
        <f t="shared" si="4"/>
        <v>0</v>
      </c>
      <c r="H114" s="35"/>
    </row>
    <row r="115" spans="1:8" s="34" customFormat="1" x14ac:dyDescent="0.2">
      <c r="A115" s="166" t="s">
        <v>50</v>
      </c>
      <c r="B115" s="1013" t="s">
        <v>59</v>
      </c>
      <c r="C115" s="1014"/>
      <c r="D115" s="1014"/>
      <c r="E115" s="341">
        <v>0</v>
      </c>
      <c r="F115" s="47">
        <v>1</v>
      </c>
      <c r="G115" s="275">
        <f t="shared" si="4"/>
        <v>0</v>
      </c>
      <c r="H115" s="35"/>
    </row>
    <row r="116" spans="1:8" s="34" customFormat="1" x14ac:dyDescent="0.2">
      <c r="A116" s="1015" t="s">
        <v>92</v>
      </c>
      <c r="B116" s="1016"/>
      <c r="C116" s="1016"/>
      <c r="D116" s="1016"/>
      <c r="E116" s="1016"/>
      <c r="F116" s="1017"/>
      <c r="G116" s="278">
        <f>SUM(G108:G115)</f>
        <v>0</v>
      </c>
      <c r="H116" s="35"/>
    </row>
    <row r="117" spans="1:8" x14ac:dyDescent="0.2">
      <c r="A117" s="1003" t="s">
        <v>93</v>
      </c>
      <c r="B117" s="1004"/>
      <c r="C117" s="1004"/>
      <c r="D117" s="1004"/>
      <c r="E117" s="1004"/>
      <c r="F117" s="1005"/>
      <c r="G117" s="1006"/>
      <c r="H117" s="4"/>
    </row>
    <row r="118" spans="1:8" s="21" customFormat="1" x14ac:dyDescent="0.2">
      <c r="A118" s="271">
        <v>3</v>
      </c>
      <c r="B118" s="306" t="s">
        <v>94</v>
      </c>
      <c r="C118" s="306"/>
      <c r="D118" s="306"/>
      <c r="E118" s="306"/>
      <c r="F118" s="306"/>
      <c r="G118" s="307"/>
      <c r="H118" s="4"/>
    </row>
    <row r="119" spans="1:8" x14ac:dyDescent="0.2">
      <c r="A119" s="308" t="s">
        <v>28</v>
      </c>
      <c r="B119" s="844" t="s">
        <v>95</v>
      </c>
      <c r="C119" s="845"/>
      <c r="D119" s="845"/>
      <c r="E119" s="845"/>
      <c r="F119" s="1296">
        <v>0</v>
      </c>
      <c r="G119" s="293">
        <f>ROUND(G135*F119,2)</f>
        <v>0</v>
      </c>
      <c r="H119" s="4"/>
    </row>
    <row r="120" spans="1:8" x14ac:dyDescent="0.2">
      <c r="A120" s="310" t="s">
        <v>29</v>
      </c>
      <c r="B120" s="800" t="s">
        <v>96</v>
      </c>
      <c r="C120" s="801"/>
      <c r="D120" s="801"/>
      <c r="E120" s="801"/>
      <c r="F120" s="1297">
        <v>0</v>
      </c>
      <c r="G120" s="106">
        <f>ROUND(((G135+G119)*F120),2)</f>
        <v>0</v>
      </c>
      <c r="H120" s="4"/>
    </row>
    <row r="121" spans="1:8" x14ac:dyDescent="0.2">
      <c r="A121" s="310" t="s">
        <v>30</v>
      </c>
      <c r="B121" s="823" t="s">
        <v>97</v>
      </c>
      <c r="C121" s="824"/>
      <c r="D121" s="824"/>
      <c r="E121" s="824"/>
      <c r="F121" s="314"/>
      <c r="G121" s="106"/>
      <c r="H121" s="4"/>
    </row>
    <row r="122" spans="1:8" x14ac:dyDescent="0.2">
      <c r="A122" s="310" t="s">
        <v>98</v>
      </c>
      <c r="B122" s="800" t="s">
        <v>99</v>
      </c>
      <c r="C122" s="801"/>
      <c r="D122" s="801"/>
      <c r="E122" s="801"/>
      <c r="F122" s="1297">
        <v>0</v>
      </c>
      <c r="G122" s="106">
        <f ca="1">ROUND(G$139*F122,2)</f>
        <v>0</v>
      </c>
      <c r="H122" s="4"/>
    </row>
    <row r="123" spans="1:8" s="3" customFormat="1" x14ac:dyDescent="0.2">
      <c r="A123" s="310" t="s">
        <v>100</v>
      </c>
      <c r="B123" s="800" t="s">
        <v>101</v>
      </c>
      <c r="C123" s="801"/>
      <c r="D123" s="801"/>
      <c r="E123" s="801"/>
      <c r="F123" s="1297">
        <v>0</v>
      </c>
      <c r="G123" s="106">
        <f ca="1">ROUND(G$139*F123,2)</f>
        <v>0</v>
      </c>
      <c r="H123" s="4"/>
    </row>
    <row r="124" spans="1:8" x14ac:dyDescent="0.2">
      <c r="A124" s="310" t="s">
        <v>102</v>
      </c>
      <c r="B124" s="800" t="s">
        <v>12</v>
      </c>
      <c r="C124" s="801"/>
      <c r="D124" s="801"/>
      <c r="E124" s="801"/>
      <c r="F124" s="319">
        <v>0.05</v>
      </c>
      <c r="G124" s="106">
        <f ca="1">ROUND(G$139*F124,2)</f>
        <v>224.18</v>
      </c>
      <c r="H124" s="4"/>
    </row>
    <row r="125" spans="1:8" x14ac:dyDescent="0.2">
      <c r="A125" s="484" t="s">
        <v>158</v>
      </c>
      <c r="B125" s="846" t="s">
        <v>59</v>
      </c>
      <c r="C125" s="801"/>
      <c r="D125" s="801"/>
      <c r="E125" s="1010"/>
      <c r="F125" s="126">
        <v>0</v>
      </c>
      <c r="G125" s="106">
        <f ca="1">ROUND(G$139*F125,2)</f>
        <v>0</v>
      </c>
      <c r="H125" s="4"/>
    </row>
    <row r="126" spans="1:8" x14ac:dyDescent="0.2">
      <c r="A126" s="310" t="s">
        <v>460</v>
      </c>
      <c r="B126" s="846" t="s">
        <v>59</v>
      </c>
      <c r="C126" s="801"/>
      <c r="D126" s="801"/>
      <c r="E126" s="1010"/>
      <c r="F126" s="319">
        <v>0</v>
      </c>
      <c r="G126" s="106">
        <f ca="1">ROUND(G$139*F126,2)</f>
        <v>0</v>
      </c>
      <c r="H126" s="4"/>
    </row>
    <row r="127" spans="1:8" x14ac:dyDescent="0.2">
      <c r="A127" s="310"/>
      <c r="B127" s="1011" t="s">
        <v>103</v>
      </c>
      <c r="C127" s="1012"/>
      <c r="D127" s="1012"/>
      <c r="E127" s="1012"/>
      <c r="F127" s="320">
        <f>SUM(F122:F126)</f>
        <v>0.05</v>
      </c>
      <c r="G127" s="321">
        <f ca="1">SUM(G122:G126)</f>
        <v>224.18</v>
      </c>
      <c r="H127" s="4">
        <f ca="1">ROUND(G139*F127,2)</f>
        <v>224.18</v>
      </c>
    </row>
    <row r="128" spans="1:8" x14ac:dyDescent="0.2">
      <c r="A128" s="997" t="s">
        <v>104</v>
      </c>
      <c r="B128" s="998"/>
      <c r="C128" s="998"/>
      <c r="D128" s="998"/>
      <c r="E128" s="998"/>
      <c r="F128" s="322">
        <f>SUM(F119,F120,F127)</f>
        <v>0.05</v>
      </c>
      <c r="G128" s="313">
        <f ca="1">SUM(G119:G126)</f>
        <v>224.18</v>
      </c>
      <c r="H128" s="4"/>
    </row>
    <row r="129" spans="1:8" x14ac:dyDescent="0.2">
      <c r="A129" s="1003" t="s">
        <v>105</v>
      </c>
      <c r="B129" s="1004"/>
      <c r="C129" s="1004"/>
      <c r="D129" s="1004"/>
      <c r="E129" s="1004"/>
      <c r="F129" s="1005"/>
      <c r="G129" s="1006"/>
      <c r="H129" s="4"/>
    </row>
    <row r="130" spans="1:8" x14ac:dyDescent="0.2">
      <c r="A130" s="301" t="s">
        <v>28</v>
      </c>
      <c r="B130" s="1007" t="s">
        <v>106</v>
      </c>
      <c r="C130" s="1008"/>
      <c r="D130" s="1008"/>
      <c r="E130" s="1008"/>
      <c r="F130" s="1009"/>
      <c r="G130" s="303">
        <f>G34</f>
        <v>2070.1799999999998</v>
      </c>
      <c r="H130" s="4"/>
    </row>
    <row r="131" spans="1:8" x14ac:dyDescent="0.2">
      <c r="A131" s="304" t="s">
        <v>29</v>
      </c>
      <c r="B131" s="992" t="s">
        <v>107</v>
      </c>
      <c r="C131" s="807"/>
      <c r="D131" s="807"/>
      <c r="E131" s="807"/>
      <c r="F131" s="808"/>
      <c r="G131" s="305">
        <f>G68</f>
        <v>2189.1999999999998</v>
      </c>
      <c r="H131" s="4"/>
    </row>
    <row r="132" spans="1:8" x14ac:dyDescent="0.2">
      <c r="A132" s="304" t="s">
        <v>30</v>
      </c>
      <c r="B132" s="992" t="s">
        <v>108</v>
      </c>
      <c r="C132" s="807"/>
      <c r="D132" s="807"/>
      <c r="E132" s="807"/>
      <c r="F132" s="808"/>
      <c r="G132" s="305">
        <f>G77</f>
        <v>0</v>
      </c>
      <c r="H132" s="4"/>
    </row>
    <row r="133" spans="1:8" x14ac:dyDescent="0.2">
      <c r="A133" s="304" t="s">
        <v>31</v>
      </c>
      <c r="B133" s="992" t="s">
        <v>109</v>
      </c>
      <c r="C133" s="807"/>
      <c r="D133" s="807"/>
      <c r="E133" s="807"/>
      <c r="F133" s="808"/>
      <c r="G133" s="305">
        <f>G106</f>
        <v>0</v>
      </c>
      <c r="H133" s="4"/>
    </row>
    <row r="134" spans="1:8" x14ac:dyDescent="0.2">
      <c r="A134" s="304" t="s">
        <v>32</v>
      </c>
      <c r="B134" s="992" t="s">
        <v>110</v>
      </c>
      <c r="C134" s="807"/>
      <c r="D134" s="807"/>
      <c r="E134" s="807"/>
      <c r="F134" s="808"/>
      <c r="G134" s="305">
        <f>G116</f>
        <v>0</v>
      </c>
      <c r="H134" s="4"/>
    </row>
    <row r="135" spans="1:8" x14ac:dyDescent="0.2">
      <c r="A135" s="304"/>
      <c r="B135" s="993" t="s">
        <v>111</v>
      </c>
      <c r="C135" s="810"/>
      <c r="D135" s="810"/>
      <c r="E135" s="810"/>
      <c r="F135" s="811"/>
      <c r="G135" s="305">
        <f>SUM(G130:G134)</f>
        <v>4259.38</v>
      </c>
      <c r="H135" s="4"/>
    </row>
    <row r="136" spans="1:8" x14ac:dyDescent="0.2">
      <c r="A136" s="304" t="s">
        <v>34</v>
      </c>
      <c r="B136" s="994" t="s">
        <v>112</v>
      </c>
      <c r="C136" s="995"/>
      <c r="D136" s="995"/>
      <c r="E136" s="995"/>
      <c r="F136" s="996"/>
      <c r="G136" s="305">
        <f ca="1">G128</f>
        <v>224.18</v>
      </c>
      <c r="H136" s="4"/>
    </row>
    <row r="137" spans="1:8" x14ac:dyDescent="0.2">
      <c r="A137" s="997" t="s">
        <v>113</v>
      </c>
      <c r="B137" s="998"/>
      <c r="C137" s="998"/>
      <c r="D137" s="998"/>
      <c r="E137" s="998"/>
      <c r="F137" s="999"/>
      <c r="G137" s="278">
        <f ca="1">SUM(G135:G136)</f>
        <v>4483.5600000000004</v>
      </c>
      <c r="H137" s="4">
        <f ca="1">SUM(G130:G136)-G135</f>
        <v>4483.5600000000004</v>
      </c>
    </row>
    <row r="138" spans="1:8" x14ac:dyDescent="0.2">
      <c r="A138" s="1000" t="s">
        <v>13</v>
      </c>
      <c r="B138" s="1001"/>
      <c r="C138" s="1001"/>
      <c r="D138" s="1001"/>
      <c r="E138" s="1001"/>
      <c r="F138" s="1001"/>
      <c r="G138" s="1002"/>
      <c r="H138" s="4"/>
    </row>
    <row r="139" spans="1:8" x14ac:dyDescent="0.2">
      <c r="A139" s="323"/>
      <c r="B139" s="324" t="s">
        <v>114</v>
      </c>
      <c r="C139" s="324"/>
      <c r="D139" s="324"/>
      <c r="E139" s="324"/>
      <c r="F139" s="325"/>
      <c r="G139" s="326">
        <f ca="1">G137</f>
        <v>4483.5600000000004</v>
      </c>
      <c r="H139" s="4"/>
    </row>
    <row r="140" spans="1:8" x14ac:dyDescent="0.2">
      <c r="A140" s="327"/>
      <c r="B140" s="28" t="s">
        <v>115</v>
      </c>
      <c r="C140" s="28"/>
      <c r="D140" s="28"/>
      <c r="E140" s="28"/>
      <c r="F140" s="29">
        <f>F21</f>
        <v>1</v>
      </c>
      <c r="G140" s="328">
        <f ca="1">G139*F140</f>
        <v>4483.5600000000004</v>
      </c>
      <c r="H140" s="4"/>
    </row>
    <row r="141" spans="1:8" x14ac:dyDescent="0.2">
      <c r="A141" s="329"/>
      <c r="B141" s="330" t="s">
        <v>116</v>
      </c>
      <c r="C141" s="330"/>
      <c r="D141" s="330"/>
      <c r="E141" s="330"/>
      <c r="F141" s="331"/>
      <c r="G141" s="332">
        <f>F21*F22</f>
        <v>1</v>
      </c>
      <c r="H141" s="4"/>
    </row>
    <row r="142" spans="1:8" s="31" customFormat="1" x14ac:dyDescent="0.2">
      <c r="A142" s="333"/>
      <c r="B142" s="805" t="s">
        <v>4</v>
      </c>
      <c r="C142" s="805"/>
      <c r="D142" s="805"/>
      <c r="E142" s="805"/>
      <c r="F142" s="30">
        <f>F22</f>
        <v>1</v>
      </c>
      <c r="G142" s="334">
        <f ca="1">G140*F142</f>
        <v>4483.5600000000004</v>
      </c>
      <c r="H142" s="4"/>
    </row>
    <row r="143" spans="1:8" s="31" customFormat="1" ht="13.5" thickBot="1" x14ac:dyDescent="0.25">
      <c r="A143" s="335"/>
      <c r="B143" s="991" t="s">
        <v>402</v>
      </c>
      <c r="C143" s="991"/>
      <c r="D143" s="991"/>
      <c r="E143" s="991"/>
      <c r="F143" s="336">
        <v>12</v>
      </c>
      <c r="G143" s="337">
        <f ca="1">G142*F143</f>
        <v>53802.720000000001</v>
      </c>
      <c r="H143" s="4"/>
    </row>
    <row r="144" spans="1:8" x14ac:dyDescent="0.2">
      <c r="F144" s="346"/>
    </row>
    <row r="151" spans="7:7" x14ac:dyDescent="0.2">
      <c r="G151" s="32"/>
    </row>
  </sheetData>
  <mergeCells count="151">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2:E12"/>
    <mergeCell ref="F12:G12"/>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3:E33"/>
    <mergeCell ref="A34:F34"/>
    <mergeCell ref="A35:G35"/>
    <mergeCell ref="A36:G36"/>
    <mergeCell ref="B37:E37"/>
    <mergeCell ref="B38:E38"/>
    <mergeCell ref="B26:E26"/>
    <mergeCell ref="B27:E27"/>
    <mergeCell ref="B28:E28"/>
    <mergeCell ref="B29:E29"/>
    <mergeCell ref="B30:E30"/>
    <mergeCell ref="B32:E32"/>
    <mergeCell ref="B31:E31"/>
    <mergeCell ref="B46:E46"/>
    <mergeCell ref="B47:E47"/>
    <mergeCell ref="B48:E48"/>
    <mergeCell ref="B49:E49"/>
    <mergeCell ref="B50:E50"/>
    <mergeCell ref="A51:E51"/>
    <mergeCell ref="B39:E39"/>
    <mergeCell ref="A41:E41"/>
    <mergeCell ref="A42:G42"/>
    <mergeCell ref="B43:E43"/>
    <mergeCell ref="B44:E44"/>
    <mergeCell ref="B45:E45"/>
    <mergeCell ref="B58:D58"/>
    <mergeCell ref="B59:D59"/>
    <mergeCell ref="B60:D60"/>
    <mergeCell ref="B62:D62"/>
    <mergeCell ref="A63:F63"/>
    <mergeCell ref="A64:G64"/>
    <mergeCell ref="A52:G52"/>
    <mergeCell ref="B53:D53"/>
    <mergeCell ref="B54:D54"/>
    <mergeCell ref="B55:D55"/>
    <mergeCell ref="B56:D56"/>
    <mergeCell ref="B57:D57"/>
    <mergeCell ref="B61:D61"/>
    <mergeCell ref="B72:E72"/>
    <mergeCell ref="B73:E73"/>
    <mergeCell ref="B74:E74"/>
    <mergeCell ref="B75:E75"/>
    <mergeCell ref="B76:E76"/>
    <mergeCell ref="A77:E77"/>
    <mergeCell ref="B65:E65"/>
    <mergeCell ref="B66:E66"/>
    <mergeCell ref="B67:F67"/>
    <mergeCell ref="A68:F68"/>
    <mergeCell ref="A69:G69"/>
    <mergeCell ref="B71:E71"/>
    <mergeCell ref="B84:E84"/>
    <mergeCell ref="B85:E85"/>
    <mergeCell ref="A86:E86"/>
    <mergeCell ref="A87:G87"/>
    <mergeCell ref="B88:E88"/>
    <mergeCell ref="B89:E89"/>
    <mergeCell ref="A78:G78"/>
    <mergeCell ref="A79:G79"/>
    <mergeCell ref="B80:E80"/>
    <mergeCell ref="B81:E81"/>
    <mergeCell ref="B82:E82"/>
    <mergeCell ref="B83:E83"/>
    <mergeCell ref="A96:E96"/>
    <mergeCell ref="A97:G97"/>
    <mergeCell ref="B98:E98"/>
    <mergeCell ref="B99:E99"/>
    <mergeCell ref="A100:E100"/>
    <mergeCell ref="A101:G101"/>
    <mergeCell ref="B90:E90"/>
    <mergeCell ref="B91:E91"/>
    <mergeCell ref="A92:E92"/>
    <mergeCell ref="A93:G93"/>
    <mergeCell ref="B94:E94"/>
    <mergeCell ref="B95:E95"/>
    <mergeCell ref="B108:D108"/>
    <mergeCell ref="B109:D109"/>
    <mergeCell ref="B110:D110"/>
    <mergeCell ref="B111:D111"/>
    <mergeCell ref="B112:D112"/>
    <mergeCell ref="B113:D113"/>
    <mergeCell ref="B102:E102"/>
    <mergeCell ref="B103:E103"/>
    <mergeCell ref="B104:E104"/>
    <mergeCell ref="B105:E105"/>
    <mergeCell ref="A106:F106"/>
    <mergeCell ref="A107:G107"/>
    <mergeCell ref="B121:E121"/>
    <mergeCell ref="B122:E122"/>
    <mergeCell ref="B123:E123"/>
    <mergeCell ref="B124:E124"/>
    <mergeCell ref="B126:E126"/>
    <mergeCell ref="B127:E127"/>
    <mergeCell ref="B114:D114"/>
    <mergeCell ref="B115:D115"/>
    <mergeCell ref="A116:F116"/>
    <mergeCell ref="A117:G117"/>
    <mergeCell ref="B119:E119"/>
    <mergeCell ref="B120:E120"/>
    <mergeCell ref="B125:E125"/>
    <mergeCell ref="B143:E143"/>
    <mergeCell ref="B134:F134"/>
    <mergeCell ref="B135:F135"/>
    <mergeCell ref="B136:F136"/>
    <mergeCell ref="A137:F137"/>
    <mergeCell ref="A138:G138"/>
    <mergeCell ref="B142:E142"/>
    <mergeCell ref="A128:E128"/>
    <mergeCell ref="A129:G129"/>
    <mergeCell ref="B130:F130"/>
    <mergeCell ref="B131:F131"/>
    <mergeCell ref="B132:F132"/>
    <mergeCell ref="B133:F133"/>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ignoredErrors>
    <ignoredError sqref="G113" formula="1"/>
  </ignoredError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IM182"/>
  <sheetViews>
    <sheetView showGridLines="0" view="pageBreakPreview" topLeftCell="B55" zoomScaleNormal="100" zoomScaleSheetLayoutView="100" workbookViewId="0">
      <selection activeCell="B3" sqref="B3:H3"/>
    </sheetView>
  </sheetViews>
  <sheetFormatPr defaultColWidth="11.42578125" defaultRowHeight="16.5" x14ac:dyDescent="0.3"/>
  <cols>
    <col min="1" max="1" width="3" style="56" bestFit="1" customWidth="1"/>
    <col min="2" max="2" width="44.28515625" style="56" customWidth="1"/>
    <col min="3" max="8" width="14.5703125" style="56" customWidth="1"/>
    <col min="9" max="9" width="14.140625" style="56" bestFit="1" customWidth="1"/>
    <col min="10" max="16384" width="11.42578125" style="56"/>
  </cols>
  <sheetData>
    <row r="1" spans="2:12" s="33" customFormat="1" ht="26.25" customHeight="1" x14ac:dyDescent="0.3">
      <c r="B1" s="970" t="s">
        <v>471</v>
      </c>
      <c r="C1" s="971"/>
      <c r="D1" s="971"/>
      <c r="E1" s="971"/>
      <c r="F1" s="971"/>
      <c r="G1" s="971"/>
      <c r="H1" s="972"/>
      <c r="I1" s="56"/>
      <c r="L1" s="50"/>
    </row>
    <row r="2" spans="2:12" s="33" customFormat="1" ht="26.25" customHeight="1" thickBot="1" x14ac:dyDescent="0.35">
      <c r="B2" s="973" t="s">
        <v>507</v>
      </c>
      <c r="C2" s="974"/>
      <c r="D2" s="974"/>
      <c r="E2" s="974"/>
      <c r="F2" s="974"/>
      <c r="G2" s="974"/>
      <c r="H2" s="975"/>
      <c r="I2" s="56"/>
      <c r="L2" s="50"/>
    </row>
    <row r="3" spans="2:12" s="33" customFormat="1" ht="38.25" customHeight="1" thickBot="1" x14ac:dyDescent="0.35">
      <c r="B3" s="976" t="s">
        <v>392</v>
      </c>
      <c r="C3" s="977"/>
      <c r="D3" s="977"/>
      <c r="E3" s="977"/>
      <c r="F3" s="977"/>
      <c r="G3" s="977"/>
      <c r="H3" s="978"/>
      <c r="I3" s="56"/>
      <c r="J3" s="950"/>
      <c r="K3" s="950"/>
      <c r="L3" s="50"/>
    </row>
    <row r="4" spans="2:12" ht="15.95" customHeight="1" x14ac:dyDescent="0.3">
      <c r="B4" s="965" t="s">
        <v>159</v>
      </c>
      <c r="C4" s="966"/>
      <c r="D4" s="966"/>
      <c r="E4" s="966"/>
      <c r="F4" s="966"/>
      <c r="G4" s="966"/>
      <c r="H4" s="967"/>
    </row>
    <row r="5" spans="2:12" ht="15.95" customHeight="1" thickBot="1" x14ac:dyDescent="0.35">
      <c r="B5" s="965"/>
      <c r="C5" s="966"/>
      <c r="D5" s="966"/>
      <c r="E5" s="966"/>
      <c r="F5" s="966"/>
      <c r="G5" s="966"/>
      <c r="H5" s="967"/>
    </row>
    <row r="6" spans="2:12" ht="15.95" customHeight="1" thickBot="1" x14ac:dyDescent="0.35">
      <c r="B6" s="168" t="s">
        <v>174</v>
      </c>
      <c r="C6" s="988" t="s">
        <v>470</v>
      </c>
      <c r="D6" s="989"/>
      <c r="E6" s="989"/>
      <c r="F6" s="989"/>
      <c r="G6" s="989"/>
      <c r="H6" s="990"/>
    </row>
    <row r="7" spans="2:12" ht="48.6" customHeight="1" thickBot="1" x14ac:dyDescent="0.35">
      <c r="B7" s="147" t="s">
        <v>193</v>
      </c>
      <c r="C7" s="169" t="s">
        <v>173</v>
      </c>
      <c r="D7" s="169" t="s">
        <v>176</v>
      </c>
      <c r="E7" s="169" t="s">
        <v>244</v>
      </c>
      <c r="F7" s="170" t="s">
        <v>438</v>
      </c>
      <c r="G7" s="81"/>
      <c r="H7" s="71"/>
    </row>
    <row r="8" spans="2:12" ht="15.95" customHeight="1" x14ac:dyDescent="0.3">
      <c r="B8" s="151" t="s">
        <v>237</v>
      </c>
      <c r="C8" s="152">
        <v>632.55999999999995</v>
      </c>
      <c r="D8" s="153">
        <v>800</v>
      </c>
      <c r="E8" s="154">
        <f t="shared" ref="E8:E13" si="0">C8/D8</f>
        <v>0.79</v>
      </c>
      <c r="F8" s="962">
        <f>ROUNDDOWN(SUM(E8:E12),0)</f>
        <v>5</v>
      </c>
      <c r="G8" s="951"/>
      <c r="H8" s="71"/>
    </row>
    <row r="9" spans="2:12" ht="15.95" customHeight="1" x14ac:dyDescent="0.3">
      <c r="B9" s="171" t="s">
        <v>248</v>
      </c>
      <c r="C9" s="59">
        <v>18822.37</v>
      </c>
      <c r="D9" s="172">
        <v>5000</v>
      </c>
      <c r="E9" s="173">
        <f t="shared" si="0"/>
        <v>3.76</v>
      </c>
      <c r="F9" s="963"/>
      <c r="G9" s="951"/>
      <c r="H9" s="71"/>
    </row>
    <row r="10" spans="2:12" ht="15.95" customHeight="1" x14ac:dyDescent="0.3">
      <c r="B10" s="171" t="s">
        <v>406</v>
      </c>
      <c r="C10" s="174">
        <v>65.709999999999994</v>
      </c>
      <c r="D10" s="172">
        <v>300</v>
      </c>
      <c r="E10" s="173">
        <f t="shared" si="0"/>
        <v>0.22</v>
      </c>
      <c r="F10" s="963"/>
      <c r="G10" s="951"/>
      <c r="H10" s="71"/>
    </row>
    <row r="11" spans="2:12" ht="15.95" customHeight="1" x14ac:dyDescent="0.3">
      <c r="B11" s="338" t="s">
        <v>239</v>
      </c>
      <c r="C11" s="211">
        <v>54.58</v>
      </c>
      <c r="D11" s="212">
        <v>200</v>
      </c>
      <c r="E11" s="173">
        <f t="shared" si="0"/>
        <v>0.27</v>
      </c>
      <c r="F11" s="963"/>
      <c r="G11" s="951"/>
      <c r="H11" s="71"/>
    </row>
    <row r="12" spans="2:12" ht="15.95" customHeight="1" thickBot="1" x14ac:dyDescent="0.35">
      <c r="B12" s="175" t="s">
        <v>403</v>
      </c>
      <c r="C12" s="176">
        <v>0</v>
      </c>
      <c r="D12" s="177">
        <v>200</v>
      </c>
      <c r="E12" s="339">
        <f t="shared" si="0"/>
        <v>0</v>
      </c>
      <c r="F12" s="964"/>
      <c r="G12" s="951"/>
      <c r="H12" s="71"/>
    </row>
    <row r="13" spans="2:12" ht="15.95" customHeight="1" thickBot="1" x14ac:dyDescent="0.35">
      <c r="B13" s="148" t="s">
        <v>238</v>
      </c>
      <c r="C13" s="59">
        <v>22000</v>
      </c>
      <c r="D13" s="149">
        <v>20000</v>
      </c>
      <c r="E13" s="150">
        <f t="shared" si="0"/>
        <v>1.1000000000000001</v>
      </c>
      <c r="F13" s="350">
        <f>ROUND((E13),0)</f>
        <v>1</v>
      </c>
      <c r="G13" s="349"/>
      <c r="H13" s="71"/>
      <c r="I13" s="155"/>
    </row>
    <row r="14" spans="2:12" ht="15.95" customHeight="1" x14ac:dyDescent="0.3">
      <c r="B14" s="954" t="s">
        <v>175</v>
      </c>
      <c r="C14" s="955"/>
      <c r="D14" s="955"/>
      <c r="E14" s="955"/>
      <c r="F14" s="178">
        <f>'Agente de Higienização_CEPIR'!F22</f>
        <v>5</v>
      </c>
      <c r="G14" s="135"/>
      <c r="H14" s="71"/>
    </row>
    <row r="15" spans="2:12" ht="15.95" customHeight="1" x14ac:dyDescent="0.3">
      <c r="B15" s="956" t="s">
        <v>216</v>
      </c>
      <c r="C15" s="957"/>
      <c r="D15" s="957"/>
      <c r="E15" s="957"/>
      <c r="F15" s="179">
        <f>Jardineiro_CEPIR!F22</f>
        <v>1</v>
      </c>
      <c r="G15" s="136"/>
      <c r="H15" s="71"/>
    </row>
    <row r="16" spans="2:12" ht="15.95" customHeight="1" x14ac:dyDescent="0.3">
      <c r="B16" s="1090" t="str">
        <f>'Ajud. de Serv. Diversos_CEPIR'!F16</f>
        <v>Ajudante de Serviços Diversos</v>
      </c>
      <c r="C16" s="1091"/>
      <c r="D16" s="1091"/>
      <c r="E16" s="1092"/>
      <c r="F16" s="269">
        <f>'Ajud. de Serv. Diversos_CEPIR'!F22</f>
        <v>1</v>
      </c>
      <c r="G16" s="136"/>
      <c r="H16" s="71"/>
    </row>
    <row r="17" spans="2:8" ht="15.95" customHeight="1" thickBot="1" x14ac:dyDescent="0.35">
      <c r="B17" s="958" t="s">
        <v>446</v>
      </c>
      <c r="C17" s="959"/>
      <c r="D17" s="959"/>
      <c r="E17" s="959"/>
      <c r="F17" s="162">
        <f>SUM(F14:F16)</f>
        <v>7</v>
      </c>
      <c r="G17" s="137"/>
      <c r="H17" s="71"/>
    </row>
    <row r="18" spans="2:8" ht="15.95" customHeight="1" thickBot="1" x14ac:dyDescent="0.35">
      <c r="B18" s="180"/>
      <c r="C18" s="58"/>
      <c r="D18" s="57"/>
      <c r="E18" s="58"/>
      <c r="F18" s="58"/>
      <c r="G18" s="58"/>
      <c r="H18" s="71"/>
    </row>
    <row r="19" spans="2:8" ht="29.45" customHeight="1" thickBot="1" x14ac:dyDescent="0.35">
      <c r="B19" s="82" t="s">
        <v>194</v>
      </c>
      <c r="C19" s="181" t="s">
        <v>178</v>
      </c>
      <c r="D19" s="81"/>
      <c r="E19" s="81"/>
      <c r="F19" s="58"/>
      <c r="G19" s="58"/>
      <c r="H19" s="71"/>
    </row>
    <row r="20" spans="2:8" ht="15.95" customHeight="1" x14ac:dyDescent="0.3">
      <c r="B20" s="182" t="str">
        <f>'Agente de Higienização_CEPIR'!F16</f>
        <v>Agente de Higienização</v>
      </c>
      <c r="C20" s="183">
        <f ca="1">'Agente de Higienização_CEPIR'!G140</f>
        <v>4978.5200000000004</v>
      </c>
      <c r="D20" s="80"/>
      <c r="E20" s="80"/>
      <c r="F20" s="58"/>
      <c r="G20" s="58"/>
      <c r="H20" s="73"/>
    </row>
    <row r="21" spans="2:8" ht="15.95" customHeight="1" x14ac:dyDescent="0.3">
      <c r="B21" s="182" t="str">
        <f>Jardineiro_CEPIR!F16</f>
        <v>Jardineiro</v>
      </c>
      <c r="C21" s="183">
        <f ca="1">Jardineiro_CEPIR!G140</f>
        <v>3911.28</v>
      </c>
      <c r="D21" s="80"/>
      <c r="E21" s="80"/>
      <c r="F21" s="58"/>
      <c r="G21" s="58"/>
      <c r="H21" s="73"/>
    </row>
    <row r="22" spans="2:8" ht="15.95" customHeight="1" x14ac:dyDescent="0.3">
      <c r="B22" s="182" t="str">
        <f>'Ajud. de Serv. Diversos_CEPIR'!F16</f>
        <v>Ajudante de Serviços Diversos</v>
      </c>
      <c r="C22" s="183">
        <f ca="1">'Ajud. de Serv. Diversos_CEPIR'!G140</f>
        <v>4483.5600000000004</v>
      </c>
      <c r="D22" s="80"/>
      <c r="E22" s="80"/>
      <c r="F22" s="58"/>
      <c r="G22" s="58"/>
      <c r="H22" s="73"/>
    </row>
    <row r="23" spans="2:8" ht="15.95" customHeight="1" thickBot="1" x14ac:dyDescent="0.35">
      <c r="B23" s="180"/>
      <c r="C23" s="58"/>
      <c r="D23" s="57"/>
      <c r="E23" s="58"/>
      <c r="F23" s="58"/>
      <c r="G23" s="58"/>
      <c r="H23" s="71"/>
    </row>
    <row r="24" spans="2:8" ht="28.5" customHeight="1" thickBot="1" x14ac:dyDescent="0.35">
      <c r="B24" s="184" t="s">
        <v>165</v>
      </c>
      <c r="C24" s="185" t="s">
        <v>177</v>
      </c>
      <c r="D24" s="185" t="s">
        <v>172</v>
      </c>
      <c r="E24" s="185" t="s">
        <v>171</v>
      </c>
      <c r="F24" s="58"/>
      <c r="G24" s="58"/>
      <c r="H24" s="71"/>
    </row>
    <row r="25" spans="2:8" s="60" customFormat="1" ht="15.95" customHeight="1" x14ac:dyDescent="0.3">
      <c r="B25" s="186" t="s">
        <v>163</v>
      </c>
      <c r="C25" s="187"/>
      <c r="D25" s="187"/>
      <c r="E25" s="188"/>
      <c r="F25" s="58"/>
      <c r="G25" s="58"/>
      <c r="H25" s="71"/>
    </row>
    <row r="26" spans="2:8" s="60" customFormat="1" ht="15.95" customHeight="1" x14ac:dyDescent="0.3">
      <c r="B26" s="182" t="str">
        <f>B20</f>
        <v>Agente de Higienização</v>
      </c>
      <c r="C26" s="521">
        <f>ROUND(1/(21*D8),9)</f>
        <v>5.9524000000000001E-5</v>
      </c>
      <c r="D26" s="61">
        <f ca="1">C20</f>
        <v>4978.5200000000004</v>
      </c>
      <c r="E26" s="77">
        <f ca="1">ROUND(D26*C26,2)</f>
        <v>0.3</v>
      </c>
      <c r="F26" s="58"/>
      <c r="G26" s="58"/>
      <c r="H26" s="71"/>
    </row>
    <row r="27" spans="2:8" s="60" customFormat="1" ht="15.95" customHeight="1" thickBot="1" x14ac:dyDescent="0.35">
      <c r="B27" s="189"/>
      <c r="C27" s="960" t="s">
        <v>170</v>
      </c>
      <c r="D27" s="961"/>
      <c r="E27" s="190">
        <f ca="1">SUM(E26:E26)</f>
        <v>0.3</v>
      </c>
      <c r="F27" s="58"/>
      <c r="G27" s="58"/>
      <c r="H27" s="71"/>
    </row>
    <row r="28" spans="2:8" s="60" customFormat="1" ht="30.75" customHeight="1" thickBot="1" x14ac:dyDescent="0.35">
      <c r="B28" s="184" t="s">
        <v>165</v>
      </c>
      <c r="C28" s="185" t="s">
        <v>177</v>
      </c>
      <c r="D28" s="185" t="s">
        <v>172</v>
      </c>
      <c r="E28" s="185" t="s">
        <v>171</v>
      </c>
      <c r="F28" s="58"/>
      <c r="G28" s="58"/>
      <c r="H28" s="71"/>
    </row>
    <row r="29" spans="2:8" s="60" customFormat="1" ht="15.95" customHeight="1" x14ac:dyDescent="0.3">
      <c r="B29" s="186" t="s">
        <v>161</v>
      </c>
      <c r="C29" s="187"/>
      <c r="D29" s="187"/>
      <c r="E29" s="188"/>
      <c r="F29" s="58"/>
      <c r="G29" s="58"/>
      <c r="H29" s="71"/>
    </row>
    <row r="30" spans="2:8" s="60" customFormat="1" ht="15.95" customHeight="1" x14ac:dyDescent="0.3">
      <c r="B30" s="182" t="str">
        <f>B20</f>
        <v>Agente de Higienização</v>
      </c>
      <c r="C30" s="521">
        <f>ROUND(1/(2*D$9),9)</f>
        <v>1E-4</v>
      </c>
      <c r="D30" s="61">
        <f ca="1">C20</f>
        <v>4978.5200000000004</v>
      </c>
      <c r="E30" s="77">
        <f ca="1">ROUND(D30*C30,2)</f>
        <v>0.5</v>
      </c>
      <c r="F30" s="58"/>
      <c r="G30" s="58"/>
      <c r="H30" s="71"/>
    </row>
    <row r="31" spans="2:8" s="60" customFormat="1" ht="15.95" customHeight="1" thickBot="1" x14ac:dyDescent="0.35">
      <c r="B31" s="357"/>
      <c r="C31" s="1093" t="s">
        <v>169</v>
      </c>
      <c r="D31" s="1094"/>
      <c r="E31" s="358">
        <f ca="1">SUM(E30:E30)</f>
        <v>0.5</v>
      </c>
      <c r="F31" s="58"/>
      <c r="G31" s="58"/>
      <c r="H31" s="71"/>
    </row>
    <row r="32" spans="2:8" s="60" customFormat="1" ht="15.95" customHeight="1" x14ac:dyDescent="0.3">
      <c r="B32" s="143" t="s">
        <v>240</v>
      </c>
      <c r="C32" s="64"/>
      <c r="D32" s="64"/>
      <c r="E32" s="356"/>
      <c r="F32" s="58"/>
      <c r="G32" s="58"/>
      <c r="H32" s="71"/>
    </row>
    <row r="33" spans="1:8" s="60" customFormat="1" ht="15.95" customHeight="1" x14ac:dyDescent="0.3">
      <c r="B33" s="182" t="str">
        <f>B20</f>
        <v>Agente de Higienização</v>
      </c>
      <c r="C33" s="191">
        <f>ROUND(1/(21*D11),9)</f>
        <v>2.3809499999999999E-4</v>
      </c>
      <c r="D33" s="192">
        <f ca="1">C20</f>
        <v>4978.5200000000004</v>
      </c>
      <c r="E33" s="62">
        <f ca="1">ROUND(D33*C33,2)</f>
        <v>1.19</v>
      </c>
      <c r="F33" s="58"/>
      <c r="G33" s="58"/>
      <c r="H33" s="71"/>
    </row>
    <row r="34" spans="1:8" s="63" customFormat="1" ht="15.95" customHeight="1" thickBot="1" x14ac:dyDescent="0.35">
      <c r="B34" s="189"/>
      <c r="C34" s="960" t="s">
        <v>241</v>
      </c>
      <c r="D34" s="961"/>
      <c r="E34" s="193">
        <f ca="1">SUM(E33:E33)</f>
        <v>1.19</v>
      </c>
      <c r="F34" s="58"/>
      <c r="G34" s="58"/>
      <c r="H34" s="71"/>
    </row>
    <row r="35" spans="1:8" s="63" customFormat="1" ht="15.95" customHeight="1" x14ac:dyDescent="0.3">
      <c r="B35" s="143" t="s">
        <v>404</v>
      </c>
      <c r="C35" s="64"/>
      <c r="D35" s="64"/>
      <c r="E35" s="188"/>
      <c r="F35" s="58"/>
      <c r="G35" s="58"/>
      <c r="H35" s="71"/>
    </row>
    <row r="36" spans="1:8" s="63" customFormat="1" ht="15.95" customHeight="1" x14ac:dyDescent="0.3">
      <c r="B36" s="443" t="str">
        <f>B20</f>
        <v>Agente de Higienização</v>
      </c>
      <c r="C36" s="191">
        <f>ROUND(1/(21*D12),9)</f>
        <v>2.3809499999999999E-4</v>
      </c>
      <c r="D36" s="192">
        <f ca="1">C20*0</f>
        <v>0</v>
      </c>
      <c r="E36" s="62">
        <f ca="1">ROUND(D36*C36,2)</f>
        <v>0</v>
      </c>
      <c r="F36" s="58"/>
      <c r="G36" s="58"/>
      <c r="H36" s="71"/>
    </row>
    <row r="37" spans="1:8" s="63" customFormat="1" ht="15.95" customHeight="1" thickBot="1" x14ac:dyDescent="0.35">
      <c r="B37" s="370"/>
      <c r="C37" s="1095" t="s">
        <v>241</v>
      </c>
      <c r="D37" s="1096"/>
      <c r="E37" s="371">
        <f ca="1">SUM(E36:E36)</f>
        <v>0</v>
      </c>
      <c r="F37" s="58"/>
      <c r="G37" s="58"/>
      <c r="H37" s="71"/>
    </row>
    <row r="38" spans="1:8" s="60" customFormat="1" ht="15.95" customHeight="1" thickBot="1" x14ac:dyDescent="0.35">
      <c r="B38" s="194"/>
      <c r="C38" s="58"/>
      <c r="D38" s="57"/>
      <c r="E38" s="58"/>
      <c r="F38" s="57"/>
      <c r="G38" s="58"/>
      <c r="H38" s="71"/>
    </row>
    <row r="39" spans="1:8" s="60" customFormat="1" ht="15.95" customHeight="1" thickBot="1" x14ac:dyDescent="0.35">
      <c r="B39" s="952" t="s">
        <v>165</v>
      </c>
      <c r="C39" s="953" t="s">
        <v>177</v>
      </c>
      <c r="D39" s="953" t="s">
        <v>245</v>
      </c>
      <c r="E39" s="953" t="s">
        <v>246</v>
      </c>
      <c r="F39" s="953" t="s">
        <v>168</v>
      </c>
      <c r="G39" s="953" t="s">
        <v>167</v>
      </c>
      <c r="H39" s="981" t="s">
        <v>166</v>
      </c>
    </row>
    <row r="40" spans="1:8" s="60" customFormat="1" ht="36" customHeight="1" thickBot="1" x14ac:dyDescent="0.35">
      <c r="B40" s="952"/>
      <c r="C40" s="953"/>
      <c r="D40" s="953"/>
      <c r="E40" s="953"/>
      <c r="F40" s="953"/>
      <c r="G40" s="953"/>
      <c r="H40" s="981"/>
    </row>
    <row r="41" spans="1:8" s="60" customFormat="1" ht="15.95" customHeight="1" x14ac:dyDescent="0.3">
      <c r="B41" s="195" t="s">
        <v>311</v>
      </c>
      <c r="C41" s="196"/>
      <c r="D41" s="196"/>
      <c r="E41" s="196"/>
      <c r="F41" s="196"/>
      <c r="G41" s="196"/>
      <c r="H41" s="197"/>
    </row>
    <row r="42" spans="1:8" s="60" customFormat="1" ht="15.95" customHeight="1" x14ac:dyDescent="0.3">
      <c r="B42" s="74" t="str">
        <f>B20</f>
        <v>Agente de Higienização</v>
      </c>
      <c r="C42" s="191">
        <f>ROUND(1/D10,9)</f>
        <v>3.333333E-3</v>
      </c>
      <c r="D42" s="198">
        <f>ROUNDUP(((C10/D10)*8),0)</f>
        <v>2</v>
      </c>
      <c r="E42" s="199">
        <f>ROUND(1/188.76,9)</f>
        <v>5.2977329999999998E-3</v>
      </c>
      <c r="F42" s="200">
        <f>ROUND(((C42)*(E42)*(D42)),9)</f>
        <v>3.5318000000000003E-5</v>
      </c>
      <c r="G42" s="201">
        <f ca="1">C20</f>
        <v>4978.5200000000004</v>
      </c>
      <c r="H42" s="202">
        <f ca="1">ROUND(G42*F42,2)</f>
        <v>0.18</v>
      </c>
    </row>
    <row r="43" spans="1:8" s="60" customFormat="1" ht="15.95" customHeight="1" thickBot="1" x14ac:dyDescent="0.35">
      <c r="B43" s="373"/>
      <c r="C43" s="374"/>
      <c r="D43" s="374"/>
      <c r="E43" s="374"/>
      <c r="F43" s="374"/>
      <c r="G43" s="375" t="s">
        <v>312</v>
      </c>
      <c r="H43" s="376">
        <f ca="1">ROUND(SUM(H42:H42),2)</f>
        <v>0.18</v>
      </c>
    </row>
    <row r="44" spans="1:8" s="66" customFormat="1" ht="15.95" customHeight="1" thickBot="1" x14ac:dyDescent="0.35">
      <c r="A44" s="141"/>
      <c r="B44" s="207"/>
      <c r="C44" s="139"/>
      <c r="D44" s="139"/>
      <c r="E44" s="139"/>
      <c r="F44" s="139"/>
      <c r="G44" s="140"/>
      <c r="H44" s="142"/>
    </row>
    <row r="45" spans="1:8" s="60" customFormat="1" ht="39" thickBot="1" x14ac:dyDescent="0.35">
      <c r="B45" s="184" t="s">
        <v>165</v>
      </c>
      <c r="C45" s="185" t="s">
        <v>177</v>
      </c>
      <c r="D45" s="185" t="s">
        <v>172</v>
      </c>
      <c r="E45" s="185" t="s">
        <v>171</v>
      </c>
      <c r="F45" s="58"/>
      <c r="G45" s="58"/>
      <c r="H45" s="71"/>
    </row>
    <row r="46" spans="1:8" s="60" customFormat="1" ht="15.95" customHeight="1" x14ac:dyDescent="0.3">
      <c r="B46" s="186" t="s">
        <v>242</v>
      </c>
      <c r="C46" s="187"/>
      <c r="D46" s="187"/>
      <c r="E46" s="188"/>
      <c r="F46" s="58"/>
      <c r="G46" s="58"/>
      <c r="H46" s="71"/>
    </row>
    <row r="47" spans="1:8" s="63" customFormat="1" ht="15.95" customHeight="1" x14ac:dyDescent="0.3">
      <c r="B47" s="443" t="str">
        <f>B20</f>
        <v>Agente de Higienização</v>
      </c>
      <c r="C47" s="191">
        <f>ROUND(1/(21*D$13),9)</f>
        <v>2.3810000000000002E-6</v>
      </c>
      <c r="D47" s="61">
        <f ca="1">C20</f>
        <v>4978.5200000000004</v>
      </c>
      <c r="E47" s="77">
        <f ca="1">ROUND(D47*C47,2)</f>
        <v>0.01</v>
      </c>
      <c r="F47" s="58"/>
      <c r="G47" s="58"/>
      <c r="H47" s="71"/>
    </row>
    <row r="48" spans="1:8" s="63" customFormat="1" ht="15.95" customHeight="1" x14ac:dyDescent="0.3">
      <c r="B48" s="444" t="str">
        <f>B21</f>
        <v>Jardineiro</v>
      </c>
      <c r="C48" s="521">
        <f>ROUND(1/(D$13),9)</f>
        <v>5.0000000000000002E-5</v>
      </c>
      <c r="D48" s="445">
        <f ca="1">C21</f>
        <v>3911.28</v>
      </c>
      <c r="E48" s="446">
        <f ca="1">ROUND(D48*C48,2)</f>
        <v>0.2</v>
      </c>
      <c r="F48" s="58"/>
      <c r="G48" s="58"/>
      <c r="H48" s="71"/>
    </row>
    <row r="49" spans="1:247" s="60" customFormat="1" ht="15.95" customHeight="1" thickBot="1" x14ac:dyDescent="0.35">
      <c r="A49" s="65"/>
      <c r="B49" s="370"/>
      <c r="C49" s="1097" t="s">
        <v>247</v>
      </c>
      <c r="D49" s="1098"/>
      <c r="E49" s="440">
        <f ca="1">SUM(E47:E48)</f>
        <v>0.21</v>
      </c>
      <c r="F49" s="139"/>
      <c r="G49" s="140"/>
      <c r="H49" s="138"/>
    </row>
    <row r="50" spans="1:247" s="60" customFormat="1" ht="15.95" customHeight="1" thickBot="1" x14ac:dyDescent="0.35">
      <c r="A50" s="65"/>
      <c r="B50" s="180"/>
      <c r="C50" s="58"/>
      <c r="D50" s="58"/>
      <c r="E50" s="58"/>
      <c r="F50" s="58"/>
      <c r="G50" s="58"/>
      <c r="H50" s="71"/>
    </row>
    <row r="51" spans="1:247" s="60" customFormat="1" ht="15.95" customHeight="1" thickBot="1" x14ac:dyDescent="0.35">
      <c r="B51" s="982" t="s">
        <v>165</v>
      </c>
      <c r="C51" s="979" t="s">
        <v>164</v>
      </c>
      <c r="D51" s="984" t="s">
        <v>249</v>
      </c>
      <c r="E51" s="979" t="s">
        <v>250</v>
      </c>
      <c r="F51" s="979" t="s">
        <v>445</v>
      </c>
      <c r="G51" s="986" t="s">
        <v>436</v>
      </c>
      <c r="H51" s="71"/>
    </row>
    <row r="52" spans="1:247" s="60" customFormat="1" ht="29.45" customHeight="1" thickBot="1" x14ac:dyDescent="0.35">
      <c r="B52" s="983"/>
      <c r="C52" s="980"/>
      <c r="D52" s="985"/>
      <c r="E52" s="980"/>
      <c r="F52" s="980"/>
      <c r="G52" s="987"/>
      <c r="H52" s="71"/>
      <c r="IF52" s="66"/>
      <c r="IG52" s="66"/>
      <c r="IH52" s="66"/>
      <c r="II52" s="66"/>
      <c r="IJ52" s="66"/>
      <c r="IK52" s="66"/>
      <c r="IL52" s="66"/>
      <c r="IM52" s="66"/>
    </row>
    <row r="53" spans="1:247" s="60" customFormat="1" ht="15.95" customHeight="1" x14ac:dyDescent="0.3">
      <c r="B53" s="143" t="s">
        <v>163</v>
      </c>
      <c r="C53" s="67">
        <f ca="1">E27</f>
        <v>0.3</v>
      </c>
      <c r="D53" s="68">
        <f t="shared" ref="D53:D58" si="1">C8</f>
        <v>632.55999999999995</v>
      </c>
      <c r="E53" s="208">
        <f t="shared" ref="E53:E58" ca="1" si="2">ROUND(D53*C53,2)</f>
        <v>189.77</v>
      </c>
      <c r="F53" s="68">
        <f>D53*12</f>
        <v>7590.72</v>
      </c>
      <c r="G53" s="210">
        <f ca="1">E53*12</f>
        <v>2277.2399999999998</v>
      </c>
      <c r="H53" s="72"/>
      <c r="IE53" s="66"/>
      <c r="IF53" s="66"/>
      <c r="IG53" s="66"/>
      <c r="IH53" s="66"/>
      <c r="II53" s="66"/>
      <c r="IJ53" s="66"/>
      <c r="IK53" s="66"/>
      <c r="IL53" s="66"/>
    </row>
    <row r="54" spans="1:247" s="60" customFormat="1" ht="15.95" customHeight="1" x14ac:dyDescent="0.3">
      <c r="B54" s="167" t="s">
        <v>161</v>
      </c>
      <c r="C54" s="67">
        <f ca="1">E31</f>
        <v>0.5</v>
      </c>
      <c r="D54" s="68">
        <f t="shared" si="1"/>
        <v>18822.37</v>
      </c>
      <c r="E54" s="208">
        <f t="shared" ca="1" si="2"/>
        <v>9411.19</v>
      </c>
      <c r="F54" s="68">
        <f t="shared" ref="F54:G58" si="3">D54*12</f>
        <v>225868.44</v>
      </c>
      <c r="G54" s="210">
        <f t="shared" ca="1" si="3"/>
        <v>112934.28</v>
      </c>
      <c r="H54" s="72"/>
      <c r="IE54" s="66"/>
      <c r="IF54" s="66"/>
      <c r="IG54" s="66"/>
      <c r="IH54" s="66"/>
      <c r="II54" s="66"/>
      <c r="IJ54" s="66"/>
      <c r="IK54" s="66"/>
      <c r="IL54" s="66"/>
    </row>
    <row r="55" spans="1:247" s="60" customFormat="1" ht="15.95" customHeight="1" x14ac:dyDescent="0.3">
      <c r="B55" s="167" t="s">
        <v>405</v>
      </c>
      <c r="C55" s="67">
        <f ca="1">H43</f>
        <v>0.18</v>
      </c>
      <c r="D55" s="68">
        <f t="shared" si="1"/>
        <v>65.709999999999994</v>
      </c>
      <c r="E55" s="208">
        <f t="shared" ca="1" si="2"/>
        <v>11.83</v>
      </c>
      <c r="F55" s="68">
        <f t="shared" si="3"/>
        <v>788.52</v>
      </c>
      <c r="G55" s="210">
        <f t="shared" ca="1" si="3"/>
        <v>141.96</v>
      </c>
      <c r="H55" s="72"/>
    </row>
    <row r="56" spans="1:247" s="60" customFormat="1" ht="15.95" customHeight="1" x14ac:dyDescent="0.3">
      <c r="B56" s="167" t="s">
        <v>240</v>
      </c>
      <c r="C56" s="67">
        <f ca="1">E34</f>
        <v>1.19</v>
      </c>
      <c r="D56" s="68">
        <f t="shared" si="1"/>
        <v>54.58</v>
      </c>
      <c r="E56" s="208">
        <f t="shared" ca="1" si="2"/>
        <v>64.95</v>
      </c>
      <c r="F56" s="68">
        <f t="shared" si="3"/>
        <v>654.96</v>
      </c>
      <c r="G56" s="210">
        <f t="shared" ca="1" si="3"/>
        <v>779.4</v>
      </c>
      <c r="H56" s="72"/>
    </row>
    <row r="57" spans="1:247" s="60" customFormat="1" ht="15.95" customHeight="1" x14ac:dyDescent="0.3">
      <c r="B57" s="167" t="s">
        <v>404</v>
      </c>
      <c r="C57" s="67">
        <f ca="1">E37</f>
        <v>0</v>
      </c>
      <c r="D57" s="68">
        <f t="shared" si="1"/>
        <v>0</v>
      </c>
      <c r="E57" s="208">
        <f t="shared" ca="1" si="2"/>
        <v>0</v>
      </c>
      <c r="F57" s="68">
        <f t="shared" si="3"/>
        <v>0</v>
      </c>
      <c r="G57" s="210">
        <f t="shared" ca="1" si="3"/>
        <v>0</v>
      </c>
      <c r="H57" s="72"/>
    </row>
    <row r="58" spans="1:247" s="60" customFormat="1" ht="15.95" customHeight="1" x14ac:dyDescent="0.3">
      <c r="B58" s="167" t="s">
        <v>243</v>
      </c>
      <c r="C58" s="67">
        <f ca="1">E49</f>
        <v>0.21</v>
      </c>
      <c r="D58" s="68">
        <f t="shared" si="1"/>
        <v>22000</v>
      </c>
      <c r="E58" s="208">
        <f t="shared" ca="1" si="2"/>
        <v>4620</v>
      </c>
      <c r="F58" s="68">
        <f t="shared" si="3"/>
        <v>264000</v>
      </c>
      <c r="G58" s="210">
        <f t="shared" ca="1" si="3"/>
        <v>55440</v>
      </c>
      <c r="H58" s="72"/>
      <c r="I58" s="159"/>
    </row>
    <row r="59" spans="1:247" s="60" customFormat="1" ht="15.95" customHeight="1" x14ac:dyDescent="0.3">
      <c r="A59" s="69" t="s">
        <v>162</v>
      </c>
      <c r="B59" s="1101" t="s">
        <v>408</v>
      </c>
      <c r="C59" s="1102"/>
      <c r="D59" s="1102"/>
      <c r="E59" s="1102"/>
      <c r="F59" s="1102"/>
      <c r="G59" s="434">
        <f ca="1">SUM(E53:E58)</f>
        <v>14297.74</v>
      </c>
      <c r="H59" s="71"/>
    </row>
    <row r="60" spans="1:247" s="60" customFormat="1" ht="15.95" customHeight="1" thickBot="1" x14ac:dyDescent="0.35">
      <c r="A60" s="63"/>
      <c r="B60" s="1099" t="s">
        <v>447</v>
      </c>
      <c r="C60" s="1100"/>
      <c r="D60" s="1100"/>
      <c r="E60" s="1100"/>
      <c r="F60" s="1100"/>
      <c r="G60" s="432">
        <f ca="1">G59*12</f>
        <v>171572.88</v>
      </c>
      <c r="H60" s="71"/>
      <c r="I60" s="160"/>
      <c r="J60" s="161"/>
    </row>
    <row r="61" spans="1:247" s="60" customFormat="1" ht="15.95" customHeight="1" x14ac:dyDescent="0.3">
      <c r="A61" s="63"/>
      <c r="B61" s="933" t="s">
        <v>427</v>
      </c>
      <c r="C61" s="934"/>
      <c r="D61" s="934"/>
      <c r="E61" s="934"/>
      <c r="F61" s="934"/>
      <c r="G61" s="417">
        <f>'Insumos Diversos'!F136</f>
        <v>0</v>
      </c>
      <c r="H61" s="71"/>
      <c r="I61" s="160"/>
      <c r="J61" s="161"/>
    </row>
    <row r="62" spans="1:247" s="60" customFormat="1" ht="15.95" customHeight="1" thickBot="1" x14ac:dyDescent="0.35">
      <c r="A62" s="63"/>
      <c r="B62" s="929" t="s">
        <v>434</v>
      </c>
      <c r="C62" s="930"/>
      <c r="D62" s="930"/>
      <c r="E62" s="930"/>
      <c r="F62" s="930"/>
      <c r="G62" s="418">
        <f>G61*12</f>
        <v>0</v>
      </c>
      <c r="H62" s="71"/>
      <c r="I62" s="160"/>
      <c r="J62" s="161"/>
    </row>
    <row r="63" spans="1:247" s="60" customFormat="1" ht="15.95" customHeight="1" x14ac:dyDescent="0.3">
      <c r="A63" s="63"/>
      <c r="B63" s="1103" t="str">
        <f>'Ajud. de Serv. Diversos_CEPIR'!F16</f>
        <v>Ajudante de Serviços Diversos</v>
      </c>
      <c r="C63" s="1104"/>
      <c r="D63" s="1104"/>
      <c r="E63" s="1104"/>
      <c r="F63" s="1104"/>
      <c r="G63" s="435">
        <f ca="1">'Ajud. de Serv. Diversos_CEPIR'!G142</f>
        <v>4483.5600000000004</v>
      </c>
      <c r="H63" s="71"/>
      <c r="I63" s="160"/>
      <c r="J63" s="161"/>
    </row>
    <row r="64" spans="1:247" s="60" customFormat="1" ht="15.95" customHeight="1" thickBot="1" x14ac:dyDescent="0.35">
      <c r="A64" s="63"/>
      <c r="B64" s="1105" t="s">
        <v>448</v>
      </c>
      <c r="C64" s="1106"/>
      <c r="D64" s="1106"/>
      <c r="E64" s="1106"/>
      <c r="F64" s="1106"/>
      <c r="G64" s="379">
        <f ca="1">G63*12</f>
        <v>53802.720000000001</v>
      </c>
      <c r="H64" s="71"/>
      <c r="I64" s="160"/>
      <c r="J64" s="161"/>
    </row>
    <row r="65" spans="1:10" s="60" customFormat="1" ht="15.95" customHeight="1" x14ac:dyDescent="0.3">
      <c r="A65" s="63"/>
      <c r="B65" s="931" t="s">
        <v>431</v>
      </c>
      <c r="C65" s="932"/>
      <c r="D65" s="932"/>
      <c r="E65" s="932"/>
      <c r="F65" s="932"/>
      <c r="G65" s="436">
        <f ca="1">SUM(G59,G61,G63)</f>
        <v>18781.3</v>
      </c>
      <c r="H65" s="71"/>
      <c r="I65" s="160"/>
      <c r="J65" s="161"/>
    </row>
    <row r="66" spans="1:10" s="60" customFormat="1" ht="15.95" customHeight="1" thickBot="1" x14ac:dyDescent="0.35">
      <c r="A66" s="63"/>
      <c r="B66" s="927" t="s">
        <v>432</v>
      </c>
      <c r="C66" s="928"/>
      <c r="D66" s="928"/>
      <c r="E66" s="928"/>
      <c r="F66" s="928"/>
      <c r="G66" s="431">
        <f ca="1">G65*12</f>
        <v>225375.6</v>
      </c>
      <c r="H66" s="71"/>
      <c r="I66" s="160"/>
      <c r="J66" s="161"/>
    </row>
    <row r="67" spans="1:10" s="60" customFormat="1" ht="15.95" customHeight="1" x14ac:dyDescent="0.3">
      <c r="B67" s="209" t="s">
        <v>160</v>
      </c>
      <c r="C67" s="58"/>
      <c r="D67" s="58"/>
      <c r="E67" s="58"/>
      <c r="F67" s="58"/>
      <c r="G67" s="58"/>
      <c r="H67" s="71"/>
    </row>
    <row r="68" spans="1:10" s="60" customFormat="1" ht="15.95" customHeight="1" x14ac:dyDescent="0.3">
      <c r="B68" s="938" t="s">
        <v>253</v>
      </c>
      <c r="C68" s="939"/>
      <c r="D68" s="939"/>
      <c r="E68" s="939"/>
      <c r="F68" s="939"/>
      <c r="G68" s="939"/>
      <c r="H68" s="940"/>
    </row>
    <row r="69" spans="1:10" s="60" customFormat="1" ht="22.5" customHeight="1" x14ac:dyDescent="0.3">
      <c r="B69" s="941" t="s">
        <v>407</v>
      </c>
      <c r="C69" s="942"/>
      <c r="D69" s="942"/>
      <c r="E69" s="942"/>
      <c r="F69" s="942"/>
      <c r="G69" s="942"/>
      <c r="H69" s="943"/>
    </row>
    <row r="70" spans="1:10" s="60" customFormat="1" ht="30.75" customHeight="1" x14ac:dyDescent="0.3">
      <c r="B70" s="944" t="s">
        <v>317</v>
      </c>
      <c r="C70" s="945"/>
      <c r="D70" s="945"/>
      <c r="E70" s="945"/>
      <c r="F70" s="945"/>
      <c r="G70" s="945"/>
      <c r="H70" s="946"/>
    </row>
    <row r="71" spans="1:10" s="60" customFormat="1" ht="15.95" customHeight="1" x14ac:dyDescent="0.3">
      <c r="B71" s="947" t="s">
        <v>192</v>
      </c>
      <c r="C71" s="948"/>
      <c r="D71" s="948"/>
      <c r="E71" s="948"/>
      <c r="F71" s="948"/>
      <c r="G71" s="948"/>
      <c r="H71" s="949"/>
    </row>
    <row r="72" spans="1:10" s="60" customFormat="1" ht="35.25" customHeight="1" thickBot="1" x14ac:dyDescent="0.35">
      <c r="B72" s="935" t="s">
        <v>213</v>
      </c>
      <c r="C72" s="936"/>
      <c r="D72" s="936"/>
      <c r="E72" s="936"/>
      <c r="F72" s="936"/>
      <c r="G72" s="936"/>
      <c r="H72" s="937"/>
    </row>
    <row r="73" spans="1:10" s="60" customFormat="1" ht="15.95" customHeight="1" x14ac:dyDescent="0.3">
      <c r="A73" s="70"/>
      <c r="B73" s="351"/>
      <c r="C73" s="351"/>
      <c r="D73" s="351"/>
      <c r="E73" s="351"/>
      <c r="F73" s="351"/>
      <c r="G73" s="351"/>
      <c r="H73" s="352"/>
    </row>
    <row r="74" spans="1:10" s="60" customFormat="1" ht="15.95" customHeight="1" x14ac:dyDescent="0.3">
      <c r="A74" s="70"/>
    </row>
    <row r="75" spans="1:10" s="60" customFormat="1" ht="15.95" customHeight="1" x14ac:dyDescent="0.3">
      <c r="A75" s="70"/>
    </row>
    <row r="76" spans="1:10" s="60" customFormat="1" ht="15.95" customHeight="1" x14ac:dyDescent="0.3">
      <c r="A76" s="70"/>
    </row>
    <row r="77" spans="1:10" s="60" customFormat="1" ht="15.95" customHeight="1" x14ac:dyDescent="0.3">
      <c r="A77" s="70"/>
    </row>
    <row r="78" spans="1:10" s="60" customFormat="1" ht="15.95" customHeight="1" x14ac:dyDescent="0.3">
      <c r="A78" s="70"/>
    </row>
    <row r="79" spans="1:10" s="60" customFormat="1" ht="15.95" customHeight="1" x14ac:dyDescent="0.3">
      <c r="A79" s="70"/>
    </row>
    <row r="80" spans="1:10" s="60" customFormat="1" ht="15.95" customHeight="1" x14ac:dyDescent="0.3">
      <c r="A80" s="70"/>
    </row>
    <row r="81" spans="1:8" s="60" customFormat="1" ht="15.95" customHeight="1" x14ac:dyDescent="0.3">
      <c r="A81" s="70"/>
      <c r="B81" s="56"/>
      <c r="C81" s="56"/>
      <c r="D81" s="56"/>
      <c r="E81" s="56"/>
      <c r="F81" s="56"/>
    </row>
    <row r="82" spans="1:8" s="60" customFormat="1" ht="15.95" customHeight="1" x14ac:dyDescent="0.3">
      <c r="B82" s="56"/>
      <c r="C82" s="56"/>
      <c r="D82" s="56"/>
      <c r="E82" s="56"/>
      <c r="F82" s="56"/>
      <c r="G82" s="56"/>
    </row>
    <row r="83" spans="1:8" s="60" customFormat="1" ht="15.95" customHeight="1" x14ac:dyDescent="0.3">
      <c r="B83" s="56"/>
      <c r="C83" s="56"/>
      <c r="D83" s="56"/>
      <c r="E83" s="56"/>
      <c r="F83" s="56"/>
      <c r="G83" s="56"/>
      <c r="H83" s="56"/>
    </row>
    <row r="84" spans="1:8" s="60" customFormat="1" ht="15.95" customHeight="1" x14ac:dyDescent="0.3">
      <c r="A84" s="70"/>
      <c r="B84" s="56"/>
      <c r="C84" s="56"/>
      <c r="D84" s="56"/>
      <c r="E84" s="56"/>
      <c r="F84" s="56"/>
      <c r="G84" s="56"/>
      <c r="H84" s="56"/>
    </row>
    <row r="85" spans="1:8" s="60" customFormat="1" ht="15.95" customHeight="1" x14ac:dyDescent="0.3">
      <c r="A85" s="70"/>
      <c r="B85" s="56"/>
      <c r="C85" s="56"/>
      <c r="D85" s="56"/>
      <c r="E85" s="56"/>
      <c r="F85" s="56"/>
      <c r="G85" s="56"/>
      <c r="H85" s="56"/>
    </row>
    <row r="86" spans="1:8" s="60" customFormat="1" ht="15.95" customHeight="1" x14ac:dyDescent="0.3">
      <c r="B86" s="56"/>
      <c r="C86" s="56"/>
      <c r="D86" s="56"/>
      <c r="E86" s="56"/>
      <c r="F86" s="56"/>
      <c r="G86" s="56"/>
      <c r="H86" s="56"/>
    </row>
    <row r="90" spans="1:8" ht="13.35" customHeight="1" x14ac:dyDescent="0.3"/>
    <row r="110" ht="12.95" customHeight="1" x14ac:dyDescent="0.3"/>
    <row r="111" ht="10.5" customHeight="1" x14ac:dyDescent="0.3"/>
    <row r="122" ht="12" customHeight="1" x14ac:dyDescent="0.3"/>
    <row r="123" ht="12" customHeight="1" x14ac:dyDescent="0.3"/>
    <row r="134" ht="13.5" customHeight="1" x14ac:dyDescent="0.3"/>
    <row r="181" ht="10.5" customHeight="1" x14ac:dyDescent="0.3"/>
    <row r="182" ht="10.5" customHeight="1" x14ac:dyDescent="0.3"/>
  </sheetData>
  <mergeCells count="43">
    <mergeCell ref="E39:E40"/>
    <mergeCell ref="F39:F40"/>
    <mergeCell ref="G39:G40"/>
    <mergeCell ref="H39:H40"/>
    <mergeCell ref="F51:F52"/>
    <mergeCell ref="B72:H72"/>
    <mergeCell ref="B66:F66"/>
    <mergeCell ref="B68:H68"/>
    <mergeCell ref="B69:H69"/>
    <mergeCell ref="G51:G52"/>
    <mergeCell ref="B60:F60"/>
    <mergeCell ref="B59:F59"/>
    <mergeCell ref="B61:F61"/>
    <mergeCell ref="B62:F62"/>
    <mergeCell ref="B65:F65"/>
    <mergeCell ref="B70:H70"/>
    <mergeCell ref="B71:H71"/>
    <mergeCell ref="B63:F63"/>
    <mergeCell ref="B64:F64"/>
    <mergeCell ref="C49:D49"/>
    <mergeCell ref="B51:B52"/>
    <mergeCell ref="C51:C52"/>
    <mergeCell ref="D51:D52"/>
    <mergeCell ref="E51:E52"/>
    <mergeCell ref="C27:D27"/>
    <mergeCell ref="C31:D31"/>
    <mergeCell ref="C34:D34"/>
    <mergeCell ref="C37:D37"/>
    <mergeCell ref="B39:B40"/>
    <mergeCell ref="C39:C40"/>
    <mergeCell ref="D39:D40"/>
    <mergeCell ref="B17:E17"/>
    <mergeCell ref="B1:H1"/>
    <mergeCell ref="B2:H2"/>
    <mergeCell ref="B3:H3"/>
    <mergeCell ref="J3:K3"/>
    <mergeCell ref="B4:H5"/>
    <mergeCell ref="F8:F12"/>
    <mergeCell ref="G8:G12"/>
    <mergeCell ref="B14:E14"/>
    <mergeCell ref="B15:E15"/>
    <mergeCell ref="B16:E16"/>
    <mergeCell ref="C6:H6"/>
  </mergeCells>
  <dataValidations count="1">
    <dataValidation type="custom" allowBlank="1" showErrorMessage="1" errorTitle="Erro" error="Não é permitido escrever nesta célula" sqref="IP96 SL96 ACH96 AMD96 AVZ96 BFV96 BPR96 BZN96 CJJ96 CTF96 DDB96 DMX96 DWT96 EGP96 EQL96 FAH96 FKD96 FTZ96 GDV96 GNR96 GXN96 HHJ96 HRF96 IBB96 IKX96 IUT96 JEP96 JOL96 JYH96 KID96 KRZ96 LBV96 LLR96 LVN96 MFJ96 MPF96 MZB96 NIX96 NST96 OCP96 OML96 OWH96 PGD96 PPZ96 PZV96 QJR96 QTN96 RDJ96 RNF96 RXB96 SGX96 SQT96 TAP96 TKL96 TUH96 UED96 UNZ96 UXV96 VHR96 VRN96 WBJ96 WLF96 WVB96 IP65632 SL65632 ACH65632 AMD65632 AVZ65632 BFV65632 BPR65632 BZN65632 CJJ65632 CTF65632 DDB65632 DMX65632 DWT65632 EGP65632 EQL65632 FAH65632 FKD65632 FTZ65632 GDV65632 GNR65632 GXN65632 HHJ65632 HRF65632 IBB65632 IKX65632 IUT65632 JEP65632 JOL65632 JYH65632 KID65632 KRZ65632 LBV65632 LLR65632 LVN65632 MFJ65632 MPF65632 MZB65632 NIX65632 NST65632 OCP65632 OML65632 OWH65632 PGD65632 PPZ65632 PZV65632 QJR65632 QTN65632 RDJ65632 RNF65632 RXB65632 SGX65632 SQT65632 TAP65632 TKL65632 TUH65632 UED65632 UNZ65632 UXV65632 VHR65632 VRN65632 WBJ65632 WLF65632 WVB65632 IP131168 SL131168 ACH131168 AMD131168 AVZ131168 BFV131168 BPR131168 BZN131168 CJJ131168 CTF131168 DDB131168 DMX131168 DWT131168 EGP131168 EQL131168 FAH131168 FKD131168 FTZ131168 GDV131168 GNR131168 GXN131168 HHJ131168 HRF131168 IBB131168 IKX131168 IUT131168 JEP131168 JOL131168 JYH131168 KID131168 KRZ131168 LBV131168 LLR131168 LVN131168 MFJ131168 MPF131168 MZB131168 NIX131168 NST131168 OCP131168 OML131168 OWH131168 PGD131168 PPZ131168 PZV131168 QJR131168 QTN131168 RDJ131168 RNF131168 RXB131168 SGX131168 SQT131168 TAP131168 TKL131168 TUH131168 UED131168 UNZ131168 UXV131168 VHR131168 VRN131168 WBJ131168 WLF131168 WVB131168 IP196704 SL196704 ACH196704 AMD196704 AVZ196704 BFV196704 BPR196704 BZN196704 CJJ196704 CTF196704 DDB196704 DMX196704 DWT196704 EGP196704 EQL196704 FAH196704 FKD196704 FTZ196704 GDV196704 GNR196704 GXN196704 HHJ196704 HRF196704 IBB196704 IKX196704 IUT196704 JEP196704 JOL196704 JYH196704 KID196704 KRZ196704 LBV196704 LLR196704 LVN196704 MFJ196704 MPF196704 MZB196704 NIX196704 NST196704 OCP196704 OML196704 OWH196704 PGD196704 PPZ196704 PZV196704 QJR196704 QTN196704 RDJ196704 RNF196704 RXB196704 SGX196704 SQT196704 TAP196704 TKL196704 TUH196704 UED196704 UNZ196704 UXV196704 VHR196704 VRN196704 WBJ196704 WLF196704 WVB196704 IP262240 SL262240 ACH262240 AMD262240 AVZ262240 BFV262240 BPR262240 BZN262240 CJJ262240 CTF262240 DDB262240 DMX262240 DWT262240 EGP262240 EQL262240 FAH262240 FKD262240 FTZ262240 GDV262240 GNR262240 GXN262240 HHJ262240 HRF262240 IBB262240 IKX262240 IUT262240 JEP262240 JOL262240 JYH262240 KID262240 KRZ262240 LBV262240 LLR262240 LVN262240 MFJ262240 MPF262240 MZB262240 NIX262240 NST262240 OCP262240 OML262240 OWH262240 PGD262240 PPZ262240 PZV262240 QJR262240 QTN262240 RDJ262240 RNF262240 RXB262240 SGX262240 SQT262240 TAP262240 TKL262240 TUH262240 UED262240 UNZ262240 UXV262240 VHR262240 VRN262240 WBJ262240 WLF262240 WVB262240 IP327776 SL327776 ACH327776 AMD327776 AVZ327776 BFV327776 BPR327776 BZN327776 CJJ327776 CTF327776 DDB327776 DMX327776 DWT327776 EGP327776 EQL327776 FAH327776 FKD327776 FTZ327776 GDV327776 GNR327776 GXN327776 HHJ327776 HRF327776 IBB327776 IKX327776 IUT327776 JEP327776 JOL327776 JYH327776 KID327776 KRZ327776 LBV327776 LLR327776 LVN327776 MFJ327776 MPF327776 MZB327776 NIX327776 NST327776 OCP327776 OML327776 OWH327776 PGD327776 PPZ327776 PZV327776 QJR327776 QTN327776 RDJ327776 RNF327776 RXB327776 SGX327776 SQT327776 TAP327776 TKL327776 TUH327776 UED327776 UNZ327776 UXV327776 VHR327776 VRN327776 WBJ327776 WLF327776 WVB327776 IP393312 SL393312 ACH393312 AMD393312 AVZ393312 BFV393312 BPR393312 BZN393312 CJJ393312 CTF393312 DDB393312 DMX393312 DWT393312 EGP393312 EQL393312 FAH393312 FKD393312 FTZ393312 GDV393312 GNR393312 GXN393312 HHJ393312 HRF393312 IBB393312 IKX393312 IUT393312 JEP393312 JOL393312 JYH393312 KID393312 KRZ393312 LBV393312 LLR393312 LVN393312 MFJ393312 MPF393312 MZB393312 NIX393312 NST393312 OCP393312 OML393312 OWH393312 PGD393312 PPZ393312 PZV393312 QJR393312 QTN393312 RDJ393312 RNF393312 RXB393312 SGX393312 SQT393312 TAP393312 TKL393312 TUH393312 UED393312 UNZ393312 UXV393312 VHR393312 VRN393312 WBJ393312 WLF393312 WVB393312 IP458848 SL458848 ACH458848 AMD458848 AVZ458848 BFV458848 BPR458848 BZN458848 CJJ458848 CTF458848 DDB458848 DMX458848 DWT458848 EGP458848 EQL458848 FAH458848 FKD458848 FTZ458848 GDV458848 GNR458848 GXN458848 HHJ458848 HRF458848 IBB458848 IKX458848 IUT458848 JEP458848 JOL458848 JYH458848 KID458848 KRZ458848 LBV458848 LLR458848 LVN458848 MFJ458848 MPF458848 MZB458848 NIX458848 NST458848 OCP458848 OML458848 OWH458848 PGD458848 PPZ458848 PZV458848 QJR458848 QTN458848 RDJ458848 RNF458848 RXB458848 SGX458848 SQT458848 TAP458848 TKL458848 TUH458848 UED458848 UNZ458848 UXV458848 VHR458848 VRN458848 WBJ458848 WLF458848 WVB458848 IP524384 SL524384 ACH524384 AMD524384 AVZ524384 BFV524384 BPR524384 BZN524384 CJJ524384 CTF524384 DDB524384 DMX524384 DWT524384 EGP524384 EQL524384 FAH524384 FKD524384 FTZ524384 GDV524384 GNR524384 GXN524384 HHJ524384 HRF524384 IBB524384 IKX524384 IUT524384 JEP524384 JOL524384 JYH524384 KID524384 KRZ524384 LBV524384 LLR524384 LVN524384 MFJ524384 MPF524384 MZB524384 NIX524384 NST524384 OCP524384 OML524384 OWH524384 PGD524384 PPZ524384 PZV524384 QJR524384 QTN524384 RDJ524384 RNF524384 RXB524384 SGX524384 SQT524384 TAP524384 TKL524384 TUH524384 UED524384 UNZ524384 UXV524384 VHR524384 VRN524384 WBJ524384 WLF524384 WVB524384 IP589920 SL589920 ACH589920 AMD589920 AVZ589920 BFV589920 BPR589920 BZN589920 CJJ589920 CTF589920 DDB589920 DMX589920 DWT589920 EGP589920 EQL589920 FAH589920 FKD589920 FTZ589920 GDV589920 GNR589920 GXN589920 HHJ589920 HRF589920 IBB589920 IKX589920 IUT589920 JEP589920 JOL589920 JYH589920 KID589920 KRZ589920 LBV589920 LLR589920 LVN589920 MFJ589920 MPF589920 MZB589920 NIX589920 NST589920 OCP589920 OML589920 OWH589920 PGD589920 PPZ589920 PZV589920 QJR589920 QTN589920 RDJ589920 RNF589920 RXB589920 SGX589920 SQT589920 TAP589920 TKL589920 TUH589920 UED589920 UNZ589920 UXV589920 VHR589920 VRN589920 WBJ589920 WLF589920 WVB589920 IP655456 SL655456 ACH655456 AMD655456 AVZ655456 BFV655456 BPR655456 BZN655456 CJJ655456 CTF655456 DDB655456 DMX655456 DWT655456 EGP655456 EQL655456 FAH655456 FKD655456 FTZ655456 GDV655456 GNR655456 GXN655456 HHJ655456 HRF655456 IBB655456 IKX655456 IUT655456 JEP655456 JOL655456 JYH655456 KID655456 KRZ655456 LBV655456 LLR655456 LVN655456 MFJ655456 MPF655456 MZB655456 NIX655456 NST655456 OCP655456 OML655456 OWH655456 PGD655456 PPZ655456 PZV655456 QJR655456 QTN655456 RDJ655456 RNF655456 RXB655456 SGX655456 SQT655456 TAP655456 TKL655456 TUH655456 UED655456 UNZ655456 UXV655456 VHR655456 VRN655456 WBJ655456 WLF655456 WVB655456 IP720992 SL720992 ACH720992 AMD720992 AVZ720992 BFV720992 BPR720992 BZN720992 CJJ720992 CTF720992 DDB720992 DMX720992 DWT720992 EGP720992 EQL720992 FAH720992 FKD720992 FTZ720992 GDV720992 GNR720992 GXN720992 HHJ720992 HRF720992 IBB720992 IKX720992 IUT720992 JEP720992 JOL720992 JYH720992 KID720992 KRZ720992 LBV720992 LLR720992 LVN720992 MFJ720992 MPF720992 MZB720992 NIX720992 NST720992 OCP720992 OML720992 OWH720992 PGD720992 PPZ720992 PZV720992 QJR720992 QTN720992 RDJ720992 RNF720992 RXB720992 SGX720992 SQT720992 TAP720992 TKL720992 TUH720992 UED720992 UNZ720992 UXV720992 VHR720992 VRN720992 WBJ720992 WLF720992 WVB720992 IP786528 SL786528 ACH786528 AMD786528 AVZ786528 BFV786528 BPR786528 BZN786528 CJJ786528 CTF786528 DDB786528 DMX786528 DWT786528 EGP786528 EQL786528 FAH786528 FKD786528 FTZ786528 GDV786528 GNR786528 GXN786528 HHJ786528 HRF786528 IBB786528 IKX786528 IUT786528 JEP786528 JOL786528 JYH786528 KID786528 KRZ786528 LBV786528 LLR786528 LVN786528 MFJ786528 MPF786528 MZB786528 NIX786528 NST786528 OCP786528 OML786528 OWH786528 PGD786528 PPZ786528 PZV786528 QJR786528 QTN786528 RDJ786528 RNF786528 RXB786528 SGX786528 SQT786528 TAP786528 TKL786528 TUH786528 UED786528 UNZ786528 UXV786528 VHR786528 VRN786528 WBJ786528 WLF786528 WVB786528 IP852064 SL852064 ACH852064 AMD852064 AVZ852064 BFV852064 BPR852064 BZN852064 CJJ852064 CTF852064 DDB852064 DMX852064 DWT852064 EGP852064 EQL852064 FAH852064 FKD852064 FTZ852064 GDV852064 GNR852064 GXN852064 HHJ852064 HRF852064 IBB852064 IKX852064 IUT852064 JEP852064 JOL852064 JYH852064 KID852064 KRZ852064 LBV852064 LLR852064 LVN852064 MFJ852064 MPF852064 MZB852064 NIX852064 NST852064 OCP852064 OML852064 OWH852064 PGD852064 PPZ852064 PZV852064 QJR852064 QTN852064 RDJ852064 RNF852064 RXB852064 SGX852064 SQT852064 TAP852064 TKL852064 TUH852064 UED852064 UNZ852064 UXV852064 VHR852064 VRN852064 WBJ852064 WLF852064 WVB852064 IP917600 SL917600 ACH917600 AMD917600 AVZ917600 BFV917600 BPR917600 BZN917600 CJJ917600 CTF917600 DDB917600 DMX917600 DWT917600 EGP917600 EQL917600 FAH917600 FKD917600 FTZ917600 GDV917600 GNR917600 GXN917600 HHJ917600 HRF917600 IBB917600 IKX917600 IUT917600 JEP917600 JOL917600 JYH917600 KID917600 KRZ917600 LBV917600 LLR917600 LVN917600 MFJ917600 MPF917600 MZB917600 NIX917600 NST917600 OCP917600 OML917600 OWH917600 PGD917600 PPZ917600 PZV917600 QJR917600 QTN917600 RDJ917600 RNF917600 RXB917600 SGX917600 SQT917600 TAP917600 TKL917600 TUH917600 UED917600 UNZ917600 UXV917600 VHR917600 VRN917600 WBJ917600 WLF917600 WVB917600 IP983136 SL983136 ACH983136 AMD983136 AVZ983136 BFV983136 BPR983136 BZN983136 CJJ983136 CTF983136 DDB983136 DMX983136 DWT983136 EGP983136 EQL983136 FAH983136 FKD983136 FTZ983136 GDV983136 GNR983136 GXN983136 HHJ983136 HRF983136 IBB983136 IKX983136 IUT983136 JEP983136 JOL983136 JYH983136 KID983136 KRZ983136 LBV983136 LLR983136 LVN983136 MFJ983136 MPF983136 MZB983136 NIX983136 NST983136 OCP983136 OML983136 OWH983136 PGD983136 PPZ983136 PZV983136 QJR983136 QTN983136 RDJ983136 RNF983136 RXB983136 SGX983136 SQT983136 TAP983136 TKL983136 TUH983136 UED983136 UNZ983136 UXV983136 VHR983136 VRN983136 WBJ983136 WLF983136 WVB983136">
      <formula1>"&lt;""""&gt; "</formula1>
      <formula2>0</formula2>
    </dataValidation>
  </dataValidations>
  <pageMargins left="0.98425196850393704" right="0.39370078740157483" top="0.78740157480314965" bottom="0.98425196850393704" header="0.59055118110236227" footer="0.78740157480314965"/>
  <pageSetup paperSize="9" scale="54" firstPageNumber="0" orientation="portrait" r:id="rId1"/>
  <headerFooter alignWithMargins="0">
    <oddHeader>&amp;RPlanilha Elaborada pela SEAPL</oddHeader>
    <oddFooter>&amp;C&amp;"Arial Narrow,Normal"&amp;A - Página &amp;P</oddFooter>
  </headerFooter>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87"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477</v>
      </c>
      <c r="G7" s="913"/>
    </row>
    <row r="8" spans="1:8" ht="19.5" customHeight="1" x14ac:dyDescent="0.2">
      <c r="A8" s="917" t="s">
        <v>146</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v>2025</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478</v>
      </c>
      <c r="G16" s="894"/>
      <c r="H16" s="3"/>
    </row>
    <row r="17" spans="1:8" ht="14.1" customHeight="1" x14ac:dyDescent="0.2">
      <c r="A17" s="877" t="s">
        <v>21</v>
      </c>
      <c r="B17" s="878"/>
      <c r="C17" s="878"/>
      <c r="D17" s="878"/>
      <c r="E17" s="879"/>
      <c r="F17" s="893" t="s">
        <v>148</v>
      </c>
      <c r="G17" s="894"/>
      <c r="H17" s="3"/>
    </row>
    <row r="18" spans="1:8" ht="14.1" customHeight="1" x14ac:dyDescent="0.2">
      <c r="A18" s="877" t="s">
        <v>1</v>
      </c>
      <c r="B18" s="878"/>
      <c r="C18" s="878"/>
      <c r="D18" s="878"/>
      <c r="E18" s="879"/>
      <c r="F18" s="887">
        <v>1717.2</v>
      </c>
      <c r="G18" s="888"/>
    </row>
    <row r="19" spans="1:8" ht="14.1" customHeight="1" x14ac:dyDescent="0.2">
      <c r="A19" s="882" t="s">
        <v>8</v>
      </c>
      <c r="B19" s="883"/>
      <c r="C19" s="883"/>
      <c r="D19" s="883"/>
      <c r="E19" s="884"/>
      <c r="F19" s="889">
        <v>45658</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2</v>
      </c>
      <c r="G22" s="886"/>
    </row>
    <row r="23" spans="1:8" ht="12.75" customHeight="1" x14ac:dyDescent="0.2">
      <c r="A23" s="882" t="s">
        <v>25</v>
      </c>
      <c r="B23" s="883"/>
      <c r="C23" s="883"/>
      <c r="D23" s="883"/>
      <c r="E23" s="884"/>
      <c r="F23" s="895" t="s">
        <v>474</v>
      </c>
      <c r="G23" s="896"/>
    </row>
    <row r="24" spans="1:8" ht="25.5" customHeight="1" x14ac:dyDescent="0.2">
      <c r="A24" s="923" t="s">
        <v>473</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354" t="s">
        <v>27</v>
      </c>
      <c r="G26" s="99" t="s">
        <v>3</v>
      </c>
    </row>
    <row r="27" spans="1:8" s="34" customFormat="1" x14ac:dyDescent="0.2">
      <c r="A27" s="100" t="s">
        <v>28</v>
      </c>
      <c r="B27" s="872" t="s">
        <v>153</v>
      </c>
      <c r="C27" s="872"/>
      <c r="D27" s="872"/>
      <c r="E27" s="872"/>
      <c r="F27" s="101">
        <v>1</v>
      </c>
      <c r="G27" s="102">
        <f>F18*F27</f>
        <v>1717.2</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0.4</v>
      </c>
      <c r="G29" s="102">
        <f>ROUND(F15*F29,2)</f>
        <v>607.20000000000005</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ROUND((ROUND((3*22),2)/52.5)*60,2)</f>
        <v>75.430000000000007</v>
      </c>
      <c r="G31" s="102">
        <f>ROUND((F18/192*0.2)*F31,2)</f>
        <v>134.93</v>
      </c>
      <c r="H31" s="55"/>
    </row>
    <row r="32" spans="1:8" s="34" customFormat="1" x14ac:dyDescent="0.2">
      <c r="A32" s="100" t="s">
        <v>34</v>
      </c>
      <c r="B32" s="870" t="s">
        <v>155</v>
      </c>
      <c r="C32" s="870"/>
      <c r="D32" s="870"/>
      <c r="E32" s="870"/>
      <c r="F32" s="101">
        <f>ROUND(SUM(F31)/25*5,2)</f>
        <v>15.09</v>
      </c>
      <c r="G32" s="102">
        <f>ROUND((F18/192*0.2)*F32,2)</f>
        <v>26.99</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2486.3200000000002</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207.11</v>
      </c>
      <c r="H37" s="53"/>
    </row>
    <row r="38" spans="1:8" x14ac:dyDescent="0.2">
      <c r="A38" s="107" t="s">
        <v>29</v>
      </c>
      <c r="B38" s="854" t="s">
        <v>157</v>
      </c>
      <c r="C38" s="855"/>
      <c r="D38" s="855"/>
      <c r="E38" s="867"/>
      <c r="F38" s="108">
        <f>ROUND((1/11)+(1/11)/3, 3)</f>
        <v>0.121</v>
      </c>
      <c r="G38" s="8">
        <f>ROUND(G$34*F38,2)</f>
        <v>300.83999999999997</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171.8</v>
      </c>
      <c r="H40" s="4"/>
    </row>
    <row r="41" spans="1:8" x14ac:dyDescent="0.2">
      <c r="A41" s="842" t="s">
        <v>41</v>
      </c>
      <c r="B41" s="843"/>
      <c r="C41" s="843"/>
      <c r="D41" s="843"/>
      <c r="E41" s="841"/>
      <c r="F41" s="41">
        <f>ROUND(SUM(F39:F40),4)</f>
        <v>0.27339999999999998</v>
      </c>
      <c r="G41" s="111">
        <f>SUM(G37:G40)</f>
        <v>679.75</v>
      </c>
      <c r="H41" s="4">
        <f>ROUND(G34*F41,2)</f>
        <v>679.76</v>
      </c>
    </row>
    <row r="42" spans="1:8" x14ac:dyDescent="0.2">
      <c r="A42" s="835" t="s">
        <v>118</v>
      </c>
      <c r="B42" s="836"/>
      <c r="C42" s="836"/>
      <c r="D42" s="836"/>
      <c r="E42" s="836"/>
      <c r="F42" s="836"/>
      <c r="G42" s="837"/>
      <c r="H42" s="4">
        <f>SUM(G41,G34)</f>
        <v>3166.07</v>
      </c>
    </row>
    <row r="43" spans="1:8" x14ac:dyDescent="0.2">
      <c r="A43" s="42" t="s">
        <v>28</v>
      </c>
      <c r="B43" s="838" t="s">
        <v>42</v>
      </c>
      <c r="C43" s="839"/>
      <c r="D43" s="839"/>
      <c r="E43" s="869"/>
      <c r="F43" s="43">
        <v>0.2</v>
      </c>
      <c r="G43" s="22">
        <f>ROUND((G$34)*F43,2)</f>
        <v>497.26</v>
      </c>
      <c r="H43" s="4"/>
    </row>
    <row r="44" spans="1:8" x14ac:dyDescent="0.2">
      <c r="A44" s="36" t="s">
        <v>29</v>
      </c>
      <c r="B44" s="852" t="s">
        <v>43</v>
      </c>
      <c r="C44" s="853"/>
      <c r="D44" s="853"/>
      <c r="E44" s="866"/>
      <c r="F44" s="105">
        <v>2.5000000000000001E-2</v>
      </c>
      <c r="G44" s="112">
        <f>ROUND((G$34)*F44,2)</f>
        <v>62.16</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37.29</v>
      </c>
      <c r="H46" s="4"/>
    </row>
    <row r="47" spans="1:8" x14ac:dyDescent="0.2">
      <c r="A47" s="36" t="s">
        <v>32</v>
      </c>
      <c r="B47" s="852" t="s">
        <v>46</v>
      </c>
      <c r="C47" s="853"/>
      <c r="D47" s="853"/>
      <c r="E47" s="866"/>
      <c r="F47" s="105">
        <v>0.01</v>
      </c>
      <c r="G47" s="112">
        <f t="shared" si="0"/>
        <v>24.86</v>
      </c>
      <c r="H47" s="4"/>
    </row>
    <row r="48" spans="1:8" x14ac:dyDescent="0.2">
      <c r="A48" s="36" t="s">
        <v>34</v>
      </c>
      <c r="B48" s="852" t="s">
        <v>47</v>
      </c>
      <c r="C48" s="853"/>
      <c r="D48" s="853"/>
      <c r="E48" s="866"/>
      <c r="F48" s="105">
        <v>6.0000000000000001E-3</v>
      </c>
      <c r="G48" s="112">
        <f t="shared" si="0"/>
        <v>14.92</v>
      </c>
      <c r="H48" s="4"/>
    </row>
    <row r="49" spans="1:8" x14ac:dyDescent="0.2">
      <c r="A49" s="36" t="s">
        <v>48</v>
      </c>
      <c r="B49" s="852" t="s">
        <v>49</v>
      </c>
      <c r="C49" s="853"/>
      <c r="D49" s="853"/>
      <c r="E49" s="866"/>
      <c r="F49" s="105">
        <v>2E-3</v>
      </c>
      <c r="G49" s="112">
        <f t="shared" si="0"/>
        <v>4.97</v>
      </c>
      <c r="H49" s="4"/>
    </row>
    <row r="50" spans="1:8" x14ac:dyDescent="0.2">
      <c r="A50" s="107" t="s">
        <v>50</v>
      </c>
      <c r="B50" s="854" t="s">
        <v>51</v>
      </c>
      <c r="C50" s="855"/>
      <c r="D50" s="855"/>
      <c r="E50" s="867"/>
      <c r="F50" s="108">
        <v>0.08</v>
      </c>
      <c r="G50" s="112">
        <f t="shared" si="0"/>
        <v>198.91</v>
      </c>
      <c r="H50" s="4"/>
    </row>
    <row r="51" spans="1:8" x14ac:dyDescent="0.2">
      <c r="A51" s="842" t="s">
        <v>52</v>
      </c>
      <c r="B51" s="843"/>
      <c r="C51" s="843"/>
      <c r="D51" s="843"/>
      <c r="E51" s="841"/>
      <c r="F51" s="41">
        <f>SUM(F43:F50)</f>
        <v>0.33800000000000002</v>
      </c>
      <c r="G51" s="111">
        <f>SUM(G43:G50)</f>
        <v>840.37</v>
      </c>
      <c r="H51" s="4">
        <f>ROUND(G34*F51,2)</f>
        <v>840.38</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55</v>
      </c>
      <c r="B54" s="858" t="s">
        <v>56</v>
      </c>
      <c r="C54" s="859"/>
      <c r="D54" s="859"/>
      <c r="E54" s="113">
        <f>20.76-1.39</f>
        <v>19.37</v>
      </c>
      <c r="F54" s="114">
        <v>26</v>
      </c>
      <c r="G54" s="102">
        <f>ROUND((E54*F54),2)</f>
        <v>503.62</v>
      </c>
      <c r="H54" s="35"/>
    </row>
    <row r="55" spans="1:8" s="34" customFormat="1" x14ac:dyDescent="0.2">
      <c r="A55" s="36" t="s">
        <v>57</v>
      </c>
      <c r="B55" s="858" t="s">
        <v>58</v>
      </c>
      <c r="C55" s="859"/>
      <c r="D55" s="859"/>
      <c r="E55" s="113">
        <v>144.68</v>
      </c>
      <c r="F55" s="114">
        <v>1</v>
      </c>
      <c r="G55" s="102">
        <f>ROUND((E55*F55),2)</f>
        <v>144.68</v>
      </c>
      <c r="H55" s="35"/>
    </row>
    <row r="56" spans="1:8" s="34" customFormat="1" x14ac:dyDescent="0.2">
      <c r="A56" s="36" t="s">
        <v>30</v>
      </c>
      <c r="B56" s="858" t="s">
        <v>149</v>
      </c>
      <c r="C56" s="859"/>
      <c r="D56" s="859"/>
      <c r="E56" s="113">
        <v>35.33</v>
      </c>
      <c r="F56" s="114">
        <v>1</v>
      </c>
      <c r="G56" s="102">
        <f>ROUND((E56*F56),2)</f>
        <v>35.33</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150</v>
      </c>
      <c r="C58" s="859"/>
      <c r="D58" s="859"/>
      <c r="E58" s="113">
        <f>20.76</f>
        <v>20.76</v>
      </c>
      <c r="F58" s="114">
        <v>1</v>
      </c>
      <c r="G58" s="102">
        <f>ROUND((E58*F58)/12,2)</f>
        <v>1.73</v>
      </c>
      <c r="H58" s="35"/>
    </row>
    <row r="59" spans="1:8" s="34" customFormat="1" x14ac:dyDescent="0.2">
      <c r="A59" s="36" t="s">
        <v>34</v>
      </c>
      <c r="B59" s="864" t="s">
        <v>180</v>
      </c>
      <c r="C59" s="865"/>
      <c r="D59" s="865"/>
      <c r="E59" s="113">
        <f>15.96</f>
        <v>15.96</v>
      </c>
      <c r="F59" s="115">
        <v>1</v>
      </c>
      <c r="G59" s="116">
        <f>ROUND((E59*F59),2)</f>
        <v>15.96</v>
      </c>
      <c r="H59" s="35"/>
    </row>
    <row r="60" spans="1:8" s="34" customFormat="1" x14ac:dyDescent="0.2">
      <c r="A60" s="36" t="s">
        <v>48</v>
      </c>
      <c r="B60" s="858" t="s">
        <v>254</v>
      </c>
      <c r="C60" s="859"/>
      <c r="D60" s="859"/>
      <c r="E60" s="113">
        <v>300</v>
      </c>
      <c r="F60" s="114">
        <v>1</v>
      </c>
      <c r="G60" s="102">
        <f>ROUND((E60*F60),2)</f>
        <v>300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1001.32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679.75</v>
      </c>
      <c r="H65" s="4"/>
    </row>
    <row r="66" spans="1:8" x14ac:dyDescent="0.2">
      <c r="A66" s="119" t="s">
        <v>64</v>
      </c>
      <c r="B66" s="806" t="s">
        <v>128</v>
      </c>
      <c r="C66" s="807"/>
      <c r="D66" s="807"/>
      <c r="E66" s="807"/>
      <c r="F66" s="18">
        <f>F51</f>
        <v>0.33800000000000002</v>
      </c>
      <c r="G66" s="120">
        <f>G51</f>
        <v>840.37</v>
      </c>
      <c r="H66" s="4"/>
    </row>
    <row r="67" spans="1:8" x14ac:dyDescent="0.2">
      <c r="A67" s="119" t="s">
        <v>65</v>
      </c>
      <c r="B67" s="806" t="s">
        <v>66</v>
      </c>
      <c r="C67" s="807"/>
      <c r="D67" s="807"/>
      <c r="E67" s="807"/>
      <c r="F67" s="808"/>
      <c r="G67" s="120">
        <f>G63</f>
        <v>1001.32</v>
      </c>
      <c r="H67" s="4"/>
    </row>
    <row r="68" spans="1:8" x14ac:dyDescent="0.2">
      <c r="A68" s="815" t="s">
        <v>67</v>
      </c>
      <c r="B68" s="816"/>
      <c r="C68" s="816"/>
      <c r="D68" s="816"/>
      <c r="E68" s="816"/>
      <c r="F68" s="817"/>
      <c r="G68" s="104">
        <f>SUM(G65:G67)</f>
        <v>2521.44</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EPI''s'!I17</f>
        <v>0</v>
      </c>
      <c r="F108" s="24">
        <v>1</v>
      </c>
      <c r="G108" s="102">
        <f>ROUND(SUM(C108:E108),2)*F108</f>
        <v>0</v>
      </c>
      <c r="H108" s="4"/>
    </row>
    <row r="109" spans="1:8" s="34" customFormat="1" x14ac:dyDescent="0.2">
      <c r="A109" s="36" t="s">
        <v>29</v>
      </c>
      <c r="B109" s="846" t="str">
        <f>'Uniformes e EPI''s'!A19</f>
        <v>EPI's</v>
      </c>
      <c r="C109" s="801"/>
      <c r="D109" s="801"/>
      <c r="E109" s="44">
        <f>'Uniformes e EPI''s'!H39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f>ROUND((E114*F114)/12,2)</f>
        <v>0</v>
      </c>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0.03</v>
      </c>
      <c r="G124" s="106">
        <f ca="1">ROUND(G$139*F124,2)</f>
        <v>154.88</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0.03</v>
      </c>
      <c r="G127" s="128">
        <f ca="1">SUM(G122:G126)</f>
        <v>154.88</v>
      </c>
      <c r="H127" s="4">
        <f ca="1">ROUND(G139*F127,2)</f>
        <v>154.88</v>
      </c>
    </row>
    <row r="128" spans="1:8" x14ac:dyDescent="0.2">
      <c r="A128" s="815" t="s">
        <v>104</v>
      </c>
      <c r="B128" s="816"/>
      <c r="C128" s="816"/>
      <c r="D128" s="816"/>
      <c r="E128" s="816"/>
      <c r="F128" s="23">
        <f>SUM(F119,F120,F127)</f>
        <v>0.03</v>
      </c>
      <c r="G128" s="124">
        <f ca="1">SUM(G119:G126)</f>
        <v>154.88</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2486.3200000000002</v>
      </c>
      <c r="H130" s="4"/>
    </row>
    <row r="131" spans="1:8" x14ac:dyDescent="0.2">
      <c r="A131" s="119" t="s">
        <v>29</v>
      </c>
      <c r="B131" s="806" t="s">
        <v>107</v>
      </c>
      <c r="C131" s="807"/>
      <c r="D131" s="807"/>
      <c r="E131" s="807"/>
      <c r="F131" s="808"/>
      <c r="G131" s="120">
        <f>G68</f>
        <v>2521.44</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5007.76</v>
      </c>
      <c r="H135" s="4"/>
    </row>
    <row r="136" spans="1:8" x14ac:dyDescent="0.2">
      <c r="A136" s="119" t="s">
        <v>34</v>
      </c>
      <c r="B136" s="812" t="s">
        <v>112</v>
      </c>
      <c r="C136" s="813"/>
      <c r="D136" s="813"/>
      <c r="E136" s="813"/>
      <c r="F136" s="814"/>
      <c r="G136" s="120">
        <f ca="1">G128</f>
        <v>154.88</v>
      </c>
      <c r="H136" s="4"/>
    </row>
    <row r="137" spans="1:8" x14ac:dyDescent="0.2">
      <c r="A137" s="815" t="s">
        <v>113</v>
      </c>
      <c r="B137" s="816"/>
      <c r="C137" s="816"/>
      <c r="D137" s="816"/>
      <c r="E137" s="816"/>
      <c r="F137" s="817"/>
      <c r="G137" s="104">
        <f ca="1">SUM(G135:G136)</f>
        <v>5162.6400000000003</v>
      </c>
      <c r="H137" s="4">
        <f ca="1">SUM(G130:G136)-G135</f>
        <v>5162.6400000000003</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5162.6400000000003</v>
      </c>
      <c r="H139" s="4"/>
    </row>
    <row r="140" spans="1:8" x14ac:dyDescent="0.2">
      <c r="A140" s="1300"/>
      <c r="B140" s="1301" t="s">
        <v>115</v>
      </c>
      <c r="C140" s="1301"/>
      <c r="D140" s="1301"/>
      <c r="E140" s="1301"/>
      <c r="F140" s="1302">
        <f>F21</f>
        <v>1</v>
      </c>
      <c r="G140" s="1303">
        <f ca="1">G139*F140</f>
        <v>5162.6400000000003</v>
      </c>
      <c r="H140" s="4"/>
    </row>
    <row r="141" spans="1:8" x14ac:dyDescent="0.2">
      <c r="F141" s="353"/>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A138:G138"/>
    <mergeCell ref="B132:F132"/>
    <mergeCell ref="B133:F133"/>
    <mergeCell ref="B134:F134"/>
    <mergeCell ref="B135:F135"/>
    <mergeCell ref="B136:F136"/>
    <mergeCell ref="A137:F137"/>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10"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477</v>
      </c>
      <c r="G7" s="913"/>
    </row>
    <row r="8" spans="1:8" ht="19.5" customHeight="1" x14ac:dyDescent="0.2">
      <c r="A8" s="917" t="s">
        <v>146</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v>2025</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175</v>
      </c>
      <c r="G16" s="894"/>
      <c r="H16" s="3"/>
    </row>
    <row r="17" spans="1:8" ht="14.1" customHeight="1" x14ac:dyDescent="0.2">
      <c r="A17" s="877" t="s">
        <v>21</v>
      </c>
      <c r="B17" s="878"/>
      <c r="C17" s="878"/>
      <c r="D17" s="878"/>
      <c r="E17" s="879"/>
      <c r="F17" s="893" t="s">
        <v>148</v>
      </c>
      <c r="G17" s="894"/>
      <c r="H17" s="3"/>
    </row>
    <row r="18" spans="1:8" ht="14.1" customHeight="1" x14ac:dyDescent="0.2">
      <c r="A18" s="877" t="s">
        <v>1</v>
      </c>
      <c r="B18" s="878"/>
      <c r="C18" s="878"/>
      <c r="D18" s="878"/>
      <c r="E18" s="879"/>
      <c r="F18" s="887">
        <v>1717.2</v>
      </c>
      <c r="G18" s="888"/>
    </row>
    <row r="19" spans="1:8" ht="14.1" customHeight="1" x14ac:dyDescent="0.2">
      <c r="A19" s="882" t="s">
        <v>8</v>
      </c>
      <c r="B19" s="883"/>
      <c r="C19" s="883"/>
      <c r="D19" s="883"/>
      <c r="E19" s="884"/>
      <c r="F19" s="889">
        <v>45658</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7</v>
      </c>
      <c r="G22" s="886"/>
    </row>
    <row r="23" spans="1:8" ht="12.75" customHeight="1" x14ac:dyDescent="0.2">
      <c r="A23" s="882" t="s">
        <v>25</v>
      </c>
      <c r="B23" s="883"/>
      <c r="C23" s="883"/>
      <c r="D23" s="883"/>
      <c r="E23" s="884"/>
      <c r="F23" s="895" t="s">
        <v>214</v>
      </c>
      <c r="G23" s="896"/>
    </row>
    <row r="24" spans="1:8" ht="25.5" customHeight="1" x14ac:dyDescent="0.2">
      <c r="A24" s="923" t="s">
        <v>475</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523" t="s">
        <v>27</v>
      </c>
      <c r="G26" s="99" t="s">
        <v>3</v>
      </c>
    </row>
    <row r="27" spans="1:8" s="34" customFormat="1" x14ac:dyDescent="0.2">
      <c r="A27" s="100" t="s">
        <v>28</v>
      </c>
      <c r="B27" s="872" t="s">
        <v>153</v>
      </c>
      <c r="C27" s="872"/>
      <c r="D27" s="872"/>
      <c r="E27" s="872"/>
      <c r="F27" s="101">
        <v>1</v>
      </c>
      <c r="G27" s="102">
        <f>F18*F27</f>
        <v>1717.2</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0.4</v>
      </c>
      <c r="G29" s="102">
        <f>ROUND(F15*F29,2)</f>
        <v>607.20000000000005</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ROUND((ROUND((3*22),2)/52.5)*60,2)*0</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2324.4</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193.62</v>
      </c>
      <c r="H37" s="53"/>
    </row>
    <row r="38" spans="1:8" x14ac:dyDescent="0.2">
      <c r="A38" s="107" t="s">
        <v>29</v>
      </c>
      <c r="B38" s="854" t="s">
        <v>157</v>
      </c>
      <c r="C38" s="855"/>
      <c r="D38" s="855"/>
      <c r="E38" s="867"/>
      <c r="F38" s="108">
        <f>ROUND((1/11)+(1/11)/3, 3)</f>
        <v>0.121</v>
      </c>
      <c r="G38" s="8">
        <f>ROUND(G$34*F38,2)</f>
        <v>281.25</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160.62</v>
      </c>
      <c r="H40" s="4"/>
    </row>
    <row r="41" spans="1:8" x14ac:dyDescent="0.2">
      <c r="A41" s="842" t="s">
        <v>41</v>
      </c>
      <c r="B41" s="843"/>
      <c r="C41" s="843"/>
      <c r="D41" s="843"/>
      <c r="E41" s="841"/>
      <c r="F41" s="41">
        <f>ROUND(SUM(F39:F40),4)</f>
        <v>0.27339999999999998</v>
      </c>
      <c r="G41" s="111">
        <f>SUM(G37:G40)</f>
        <v>635.49</v>
      </c>
      <c r="H41" s="4">
        <f>ROUND(G34*F41,2)</f>
        <v>635.49</v>
      </c>
    </row>
    <row r="42" spans="1:8" x14ac:dyDescent="0.2">
      <c r="A42" s="835" t="s">
        <v>118</v>
      </c>
      <c r="B42" s="836"/>
      <c r="C42" s="836"/>
      <c r="D42" s="836"/>
      <c r="E42" s="836"/>
      <c r="F42" s="836"/>
      <c r="G42" s="837"/>
      <c r="H42" s="4">
        <f>SUM(G41,G34)</f>
        <v>2959.89</v>
      </c>
    </row>
    <row r="43" spans="1:8" x14ac:dyDescent="0.2">
      <c r="A43" s="42" t="s">
        <v>28</v>
      </c>
      <c r="B43" s="838" t="s">
        <v>42</v>
      </c>
      <c r="C43" s="839"/>
      <c r="D43" s="839"/>
      <c r="E43" s="869"/>
      <c r="F43" s="43">
        <v>0.2</v>
      </c>
      <c r="G43" s="22">
        <f>ROUND((G$34)*F43,2)</f>
        <v>464.88</v>
      </c>
      <c r="H43" s="4"/>
    </row>
    <row r="44" spans="1:8" x14ac:dyDescent="0.2">
      <c r="A44" s="36" t="s">
        <v>29</v>
      </c>
      <c r="B44" s="852" t="s">
        <v>43</v>
      </c>
      <c r="C44" s="853"/>
      <c r="D44" s="853"/>
      <c r="E44" s="866"/>
      <c r="F44" s="105">
        <v>2.5000000000000001E-2</v>
      </c>
      <c r="G44" s="112">
        <f>ROUND((G$34)*F44,2)</f>
        <v>58.11</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34.869999999999997</v>
      </c>
      <c r="H46" s="4"/>
    </row>
    <row r="47" spans="1:8" x14ac:dyDescent="0.2">
      <c r="A47" s="36" t="s">
        <v>32</v>
      </c>
      <c r="B47" s="852" t="s">
        <v>46</v>
      </c>
      <c r="C47" s="853"/>
      <c r="D47" s="853"/>
      <c r="E47" s="866"/>
      <c r="F47" s="105">
        <v>0.01</v>
      </c>
      <c r="G47" s="112">
        <f t="shared" si="0"/>
        <v>23.24</v>
      </c>
      <c r="H47" s="4"/>
    </row>
    <row r="48" spans="1:8" x14ac:dyDescent="0.2">
      <c r="A48" s="36" t="s">
        <v>34</v>
      </c>
      <c r="B48" s="852" t="s">
        <v>47</v>
      </c>
      <c r="C48" s="853"/>
      <c r="D48" s="853"/>
      <c r="E48" s="866"/>
      <c r="F48" s="105">
        <v>6.0000000000000001E-3</v>
      </c>
      <c r="G48" s="112">
        <f t="shared" si="0"/>
        <v>13.95</v>
      </c>
      <c r="H48" s="4"/>
    </row>
    <row r="49" spans="1:8" x14ac:dyDescent="0.2">
      <c r="A49" s="36" t="s">
        <v>48</v>
      </c>
      <c r="B49" s="852" t="s">
        <v>49</v>
      </c>
      <c r="C49" s="853"/>
      <c r="D49" s="853"/>
      <c r="E49" s="866"/>
      <c r="F49" s="105">
        <v>2E-3</v>
      </c>
      <c r="G49" s="112">
        <f t="shared" si="0"/>
        <v>4.6500000000000004</v>
      </c>
      <c r="H49" s="4"/>
    </row>
    <row r="50" spans="1:8" x14ac:dyDescent="0.2">
      <c r="A50" s="107" t="s">
        <v>50</v>
      </c>
      <c r="B50" s="854" t="s">
        <v>51</v>
      </c>
      <c r="C50" s="855"/>
      <c r="D50" s="855"/>
      <c r="E50" s="867"/>
      <c r="F50" s="108">
        <v>0.08</v>
      </c>
      <c r="G50" s="112">
        <f t="shared" si="0"/>
        <v>185.95</v>
      </c>
      <c r="H50" s="4"/>
    </row>
    <row r="51" spans="1:8" x14ac:dyDescent="0.2">
      <c r="A51" s="842" t="s">
        <v>52</v>
      </c>
      <c r="B51" s="843"/>
      <c r="C51" s="843"/>
      <c r="D51" s="843"/>
      <c r="E51" s="841"/>
      <c r="F51" s="41">
        <f>SUM(F43:F50)</f>
        <v>0.33800000000000002</v>
      </c>
      <c r="G51" s="111">
        <f>SUM(G43:G50)</f>
        <v>785.65</v>
      </c>
      <c r="H51" s="4">
        <f>ROUND(G34*F51,2)</f>
        <v>785.65</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55</v>
      </c>
      <c r="B54" s="858" t="s">
        <v>56</v>
      </c>
      <c r="C54" s="859"/>
      <c r="D54" s="859"/>
      <c r="E54" s="113">
        <f>20.76-1.39</f>
        <v>19.37</v>
      </c>
      <c r="F54" s="114">
        <v>26</v>
      </c>
      <c r="G54" s="102">
        <f>ROUND((E54*F54),2)</f>
        <v>503.62</v>
      </c>
      <c r="H54" s="35"/>
    </row>
    <row r="55" spans="1:8" s="34" customFormat="1" x14ac:dyDescent="0.2">
      <c r="A55" s="36" t="s">
        <v>57</v>
      </c>
      <c r="B55" s="858" t="s">
        <v>58</v>
      </c>
      <c r="C55" s="859"/>
      <c r="D55" s="859"/>
      <c r="E55" s="113">
        <v>144.68</v>
      </c>
      <c r="F55" s="114">
        <v>1</v>
      </c>
      <c r="G55" s="102">
        <f>ROUND((E55*F55),2)</f>
        <v>144.68</v>
      </c>
      <c r="H55" s="35"/>
    </row>
    <row r="56" spans="1:8" s="34" customFormat="1" x14ac:dyDescent="0.2">
      <c r="A56" s="36" t="s">
        <v>30</v>
      </c>
      <c r="B56" s="858" t="s">
        <v>149</v>
      </c>
      <c r="C56" s="859"/>
      <c r="D56" s="859"/>
      <c r="E56" s="113">
        <v>35.33</v>
      </c>
      <c r="F56" s="114">
        <v>1</v>
      </c>
      <c r="G56" s="102">
        <f>ROUND((E56*F56),2)</f>
        <v>35.33</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150</v>
      </c>
      <c r="C58" s="859"/>
      <c r="D58" s="859"/>
      <c r="E58" s="113">
        <f>20.76</f>
        <v>20.76</v>
      </c>
      <c r="F58" s="114">
        <v>1</v>
      </c>
      <c r="G58" s="102">
        <f>ROUND((E58*F58)/12,2)</f>
        <v>1.73</v>
      </c>
      <c r="H58" s="35"/>
    </row>
    <row r="59" spans="1:8" s="34" customFormat="1" x14ac:dyDescent="0.2">
      <c r="A59" s="36" t="s">
        <v>34</v>
      </c>
      <c r="B59" s="864" t="s">
        <v>180</v>
      </c>
      <c r="C59" s="865"/>
      <c r="D59" s="865"/>
      <c r="E59" s="113">
        <f>15.96</f>
        <v>15.96</v>
      </c>
      <c r="F59" s="115">
        <v>1</v>
      </c>
      <c r="G59" s="116">
        <f>ROUND((E59*F59),2)</f>
        <v>15.96</v>
      </c>
      <c r="H59" s="35"/>
    </row>
    <row r="60" spans="1:8" s="34" customFormat="1" x14ac:dyDescent="0.2">
      <c r="A60" s="36" t="s">
        <v>48</v>
      </c>
      <c r="B60" s="858" t="s">
        <v>254</v>
      </c>
      <c r="C60" s="859"/>
      <c r="D60" s="859"/>
      <c r="E60" s="113">
        <v>300</v>
      </c>
      <c r="F60" s="114">
        <v>1</v>
      </c>
      <c r="G60" s="102">
        <f>ROUND((E60*F60),2)</f>
        <v>300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1001.32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635.49</v>
      </c>
      <c r="H65" s="4"/>
    </row>
    <row r="66" spans="1:8" x14ac:dyDescent="0.2">
      <c r="A66" s="119" t="s">
        <v>64</v>
      </c>
      <c r="B66" s="806" t="s">
        <v>128</v>
      </c>
      <c r="C66" s="807"/>
      <c r="D66" s="807"/>
      <c r="E66" s="807"/>
      <c r="F66" s="18">
        <f>F51</f>
        <v>0.33800000000000002</v>
      </c>
      <c r="G66" s="120">
        <f>G51</f>
        <v>785.65</v>
      </c>
      <c r="H66" s="4"/>
    </row>
    <row r="67" spans="1:8" x14ac:dyDescent="0.2">
      <c r="A67" s="119" t="s">
        <v>65</v>
      </c>
      <c r="B67" s="806" t="s">
        <v>66</v>
      </c>
      <c r="C67" s="807"/>
      <c r="D67" s="807"/>
      <c r="E67" s="807"/>
      <c r="F67" s="808"/>
      <c r="G67" s="120">
        <f>G63</f>
        <v>1001.32</v>
      </c>
      <c r="H67" s="4"/>
    </row>
    <row r="68" spans="1:8" x14ac:dyDescent="0.2">
      <c r="A68" s="815" t="s">
        <v>67</v>
      </c>
      <c r="B68" s="816"/>
      <c r="C68" s="816"/>
      <c r="D68" s="816"/>
      <c r="E68" s="816"/>
      <c r="F68" s="817"/>
      <c r="G68" s="104">
        <f>SUM(G65:G67)</f>
        <v>2422.46</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EPI''s'!I17</f>
        <v>0</v>
      </c>
      <c r="F108" s="24">
        <v>1</v>
      </c>
      <c r="G108" s="102">
        <f>ROUND(SUM(C108:E108),2)*F108</f>
        <v>0</v>
      </c>
      <c r="H108" s="4"/>
    </row>
    <row r="109" spans="1:8" s="34" customFormat="1" x14ac:dyDescent="0.2">
      <c r="A109" s="36" t="s">
        <v>29</v>
      </c>
      <c r="B109" s="846" t="str">
        <f>'Uniformes e EPI''s'!A19</f>
        <v>EPI's</v>
      </c>
      <c r="C109" s="801"/>
      <c r="D109" s="801"/>
      <c r="E109" s="44">
        <f>'Uniformes e EPI''s'!H39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f>ROUND((E114*F114)/12,2)</f>
        <v>0</v>
      </c>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0.03</v>
      </c>
      <c r="G124" s="106">
        <f ca="1">ROUND(G$139*F124,2)</f>
        <v>146.81</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0.03</v>
      </c>
      <c r="G127" s="128">
        <f ca="1">SUM(G122:G126)</f>
        <v>146.81</v>
      </c>
      <c r="H127" s="4">
        <f ca="1">ROUND(G139*F127,2)</f>
        <v>146.81</v>
      </c>
    </row>
    <row r="128" spans="1:8" x14ac:dyDescent="0.2">
      <c r="A128" s="815" t="s">
        <v>104</v>
      </c>
      <c r="B128" s="816"/>
      <c r="C128" s="816"/>
      <c r="D128" s="816"/>
      <c r="E128" s="816"/>
      <c r="F128" s="23">
        <f>SUM(F119,F120,F127)</f>
        <v>0.03</v>
      </c>
      <c r="G128" s="124">
        <f ca="1">SUM(G119:G126)</f>
        <v>146.81</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2324.4</v>
      </c>
      <c r="H130" s="4"/>
    </row>
    <row r="131" spans="1:8" x14ac:dyDescent="0.2">
      <c r="A131" s="119" t="s">
        <v>29</v>
      </c>
      <c r="B131" s="806" t="s">
        <v>107</v>
      </c>
      <c r="C131" s="807"/>
      <c r="D131" s="807"/>
      <c r="E131" s="807"/>
      <c r="F131" s="808"/>
      <c r="G131" s="120">
        <f>G68</f>
        <v>2422.46</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4746.8599999999997</v>
      </c>
      <c r="H135" s="4"/>
    </row>
    <row r="136" spans="1:8" x14ac:dyDescent="0.2">
      <c r="A136" s="119" t="s">
        <v>34</v>
      </c>
      <c r="B136" s="812" t="s">
        <v>112</v>
      </c>
      <c r="C136" s="813"/>
      <c r="D136" s="813"/>
      <c r="E136" s="813"/>
      <c r="F136" s="814"/>
      <c r="G136" s="120">
        <f ca="1">G128</f>
        <v>146.81</v>
      </c>
      <c r="H136" s="4"/>
    </row>
    <row r="137" spans="1:8" x14ac:dyDescent="0.2">
      <c r="A137" s="815" t="s">
        <v>113</v>
      </c>
      <c r="B137" s="816"/>
      <c r="C137" s="816"/>
      <c r="D137" s="816"/>
      <c r="E137" s="816"/>
      <c r="F137" s="817"/>
      <c r="G137" s="104">
        <f ca="1">SUM(G135:G136)</f>
        <v>4893.67</v>
      </c>
      <c r="H137" s="4">
        <f ca="1">SUM(G130:G136)-G135</f>
        <v>4893.67</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4893.67</v>
      </c>
      <c r="H139" s="4"/>
    </row>
    <row r="140" spans="1:8" x14ac:dyDescent="0.2">
      <c r="A140" s="1300"/>
      <c r="B140" s="1301" t="s">
        <v>115</v>
      </c>
      <c r="C140" s="1301"/>
      <c r="D140" s="1301"/>
      <c r="E140" s="1301"/>
      <c r="F140" s="1302">
        <f>F21</f>
        <v>1</v>
      </c>
      <c r="G140" s="1303">
        <f ca="1">G139*F140</f>
        <v>4893.67</v>
      </c>
      <c r="H140" s="4"/>
    </row>
    <row r="141" spans="1:8" x14ac:dyDescent="0.2">
      <c r="F141" s="52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9"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477</v>
      </c>
      <c r="G7" s="913"/>
    </row>
    <row r="8" spans="1:8" ht="19.5" customHeight="1" x14ac:dyDescent="0.2">
      <c r="A8" s="917" t="s">
        <v>215</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t="s">
        <v>463</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216</v>
      </c>
      <c r="G16" s="894"/>
      <c r="H16" s="3"/>
    </row>
    <row r="17" spans="1:8" ht="14.1" customHeight="1" x14ac:dyDescent="0.2">
      <c r="A17" s="877" t="s">
        <v>21</v>
      </c>
      <c r="B17" s="878"/>
      <c r="C17" s="878"/>
      <c r="D17" s="878"/>
      <c r="E17" s="879"/>
      <c r="F17" s="893" t="s">
        <v>218</v>
      </c>
      <c r="G17" s="894"/>
      <c r="H17" s="3"/>
    </row>
    <row r="18" spans="1:8" ht="14.1" customHeight="1" x14ac:dyDescent="0.2">
      <c r="A18" s="877" t="s">
        <v>1</v>
      </c>
      <c r="B18" s="878"/>
      <c r="C18" s="878"/>
      <c r="D18" s="878"/>
      <c r="E18" s="879"/>
      <c r="F18" s="887">
        <v>1732.39</v>
      </c>
      <c r="G18" s="888"/>
    </row>
    <row r="19" spans="1:8" ht="14.1" customHeight="1" x14ac:dyDescent="0.2">
      <c r="A19" s="882" t="s">
        <v>8</v>
      </c>
      <c r="B19" s="883"/>
      <c r="C19" s="883"/>
      <c r="D19" s="883"/>
      <c r="E19" s="884"/>
      <c r="F19" s="889">
        <v>45717</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1</v>
      </c>
      <c r="G22" s="886"/>
    </row>
    <row r="23" spans="1:8" ht="12.75" customHeight="1" x14ac:dyDescent="0.2">
      <c r="A23" s="882" t="s">
        <v>25</v>
      </c>
      <c r="B23" s="883"/>
      <c r="C23" s="883"/>
      <c r="D23" s="883"/>
      <c r="E23" s="884"/>
      <c r="F23" s="895" t="s">
        <v>214</v>
      </c>
      <c r="G23" s="896"/>
    </row>
    <row r="24" spans="1:8" ht="21" customHeight="1" x14ac:dyDescent="0.2">
      <c r="A24" s="923" t="s">
        <v>475</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354" t="s">
        <v>27</v>
      </c>
      <c r="G26" s="99" t="s">
        <v>3</v>
      </c>
    </row>
    <row r="27" spans="1:8" s="34" customFormat="1" x14ac:dyDescent="0.2">
      <c r="A27" s="100" t="s">
        <v>28</v>
      </c>
      <c r="B27" s="872" t="s">
        <v>153</v>
      </c>
      <c r="C27" s="872"/>
      <c r="D27" s="872"/>
      <c r="E27" s="872"/>
      <c r="F27" s="101">
        <v>1</v>
      </c>
      <c r="G27" s="102">
        <f>F18*F27</f>
        <v>1732.39</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0.2</v>
      </c>
      <c r="G29" s="102">
        <f>ROUND(F15*F29,2)</f>
        <v>303.60000000000002</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2035.99</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169.6</v>
      </c>
      <c r="H37" s="53"/>
    </row>
    <row r="38" spans="1:8" x14ac:dyDescent="0.2">
      <c r="A38" s="107" t="s">
        <v>29</v>
      </c>
      <c r="B38" s="854" t="s">
        <v>157</v>
      </c>
      <c r="C38" s="855"/>
      <c r="D38" s="855"/>
      <c r="E38" s="867"/>
      <c r="F38" s="108">
        <f>ROUND((1/11)+(1/11)/3, 3)</f>
        <v>0.121</v>
      </c>
      <c r="G38" s="8">
        <f>ROUND(G$34*F38,2)</f>
        <v>246.35</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140.69</v>
      </c>
      <c r="H40" s="4"/>
    </row>
    <row r="41" spans="1:8" x14ac:dyDescent="0.2">
      <c r="A41" s="842" t="s">
        <v>41</v>
      </c>
      <c r="B41" s="843"/>
      <c r="C41" s="843"/>
      <c r="D41" s="843"/>
      <c r="E41" s="841"/>
      <c r="F41" s="41">
        <f>ROUND(SUM(F39:F40),4)</f>
        <v>0.27339999999999998</v>
      </c>
      <c r="G41" s="111">
        <f>SUM(G37:G40)</f>
        <v>556.64</v>
      </c>
      <c r="H41" s="4">
        <f>ROUND(G34*F41,2)</f>
        <v>556.64</v>
      </c>
    </row>
    <row r="42" spans="1:8" x14ac:dyDescent="0.2">
      <c r="A42" s="835" t="s">
        <v>118</v>
      </c>
      <c r="B42" s="836"/>
      <c r="C42" s="836"/>
      <c r="D42" s="836"/>
      <c r="E42" s="836"/>
      <c r="F42" s="836"/>
      <c r="G42" s="837"/>
      <c r="H42" s="4">
        <f>SUM(G41,G34)</f>
        <v>2592.63</v>
      </c>
    </row>
    <row r="43" spans="1:8" x14ac:dyDescent="0.2">
      <c r="A43" s="42" t="s">
        <v>28</v>
      </c>
      <c r="B43" s="838" t="s">
        <v>42</v>
      </c>
      <c r="C43" s="839"/>
      <c r="D43" s="839"/>
      <c r="E43" s="869"/>
      <c r="F43" s="43">
        <v>0.2</v>
      </c>
      <c r="G43" s="22">
        <f>ROUND((G$34)*F43,2)</f>
        <v>407.2</v>
      </c>
      <c r="H43" s="4"/>
    </row>
    <row r="44" spans="1:8" x14ac:dyDescent="0.2">
      <c r="A44" s="36" t="s">
        <v>29</v>
      </c>
      <c r="B44" s="852" t="s">
        <v>43</v>
      </c>
      <c r="C44" s="853"/>
      <c r="D44" s="853"/>
      <c r="E44" s="866"/>
      <c r="F44" s="105">
        <v>2.5000000000000001E-2</v>
      </c>
      <c r="G44" s="112">
        <f>ROUND((G$34)*F44,2)</f>
        <v>50.9</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30.54</v>
      </c>
      <c r="H46" s="4"/>
    </row>
    <row r="47" spans="1:8" x14ac:dyDescent="0.2">
      <c r="A47" s="36" t="s">
        <v>32</v>
      </c>
      <c r="B47" s="852" t="s">
        <v>46</v>
      </c>
      <c r="C47" s="853"/>
      <c r="D47" s="853"/>
      <c r="E47" s="866"/>
      <c r="F47" s="105">
        <v>0.01</v>
      </c>
      <c r="G47" s="112">
        <f t="shared" si="0"/>
        <v>20.36</v>
      </c>
      <c r="H47" s="4"/>
    </row>
    <row r="48" spans="1:8" x14ac:dyDescent="0.2">
      <c r="A48" s="36" t="s">
        <v>34</v>
      </c>
      <c r="B48" s="852" t="s">
        <v>47</v>
      </c>
      <c r="C48" s="853"/>
      <c r="D48" s="853"/>
      <c r="E48" s="866"/>
      <c r="F48" s="105">
        <v>6.0000000000000001E-3</v>
      </c>
      <c r="G48" s="112">
        <f t="shared" si="0"/>
        <v>12.22</v>
      </c>
      <c r="H48" s="4"/>
    </row>
    <row r="49" spans="1:8" x14ac:dyDescent="0.2">
      <c r="A49" s="36" t="s">
        <v>48</v>
      </c>
      <c r="B49" s="852" t="s">
        <v>49</v>
      </c>
      <c r="C49" s="853"/>
      <c r="D49" s="853"/>
      <c r="E49" s="866"/>
      <c r="F49" s="105">
        <v>2E-3</v>
      </c>
      <c r="G49" s="112">
        <f t="shared" si="0"/>
        <v>4.07</v>
      </c>
      <c r="H49" s="4"/>
    </row>
    <row r="50" spans="1:8" x14ac:dyDescent="0.2">
      <c r="A50" s="107" t="s">
        <v>50</v>
      </c>
      <c r="B50" s="854" t="s">
        <v>51</v>
      </c>
      <c r="C50" s="855"/>
      <c r="D50" s="855"/>
      <c r="E50" s="867"/>
      <c r="F50" s="108">
        <v>0.08</v>
      </c>
      <c r="G50" s="112">
        <f t="shared" si="0"/>
        <v>162.88</v>
      </c>
      <c r="H50" s="4"/>
    </row>
    <row r="51" spans="1:8" x14ac:dyDescent="0.2">
      <c r="A51" s="842" t="s">
        <v>52</v>
      </c>
      <c r="B51" s="843"/>
      <c r="C51" s="843"/>
      <c r="D51" s="843"/>
      <c r="E51" s="841"/>
      <c r="F51" s="41">
        <f>SUM(F43:F50)</f>
        <v>0.33800000000000002</v>
      </c>
      <c r="G51" s="111">
        <f>SUM(G43:G50)</f>
        <v>688.17</v>
      </c>
      <c r="H51" s="4">
        <f>ROUND(G34*F51,2)</f>
        <v>688.16</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55</v>
      </c>
      <c r="B54" s="858" t="s">
        <v>56</v>
      </c>
      <c r="C54" s="859"/>
      <c r="D54" s="859"/>
      <c r="E54" s="113">
        <f>(12.5-1.4)</f>
        <v>11.1</v>
      </c>
      <c r="F54" s="114">
        <v>26</v>
      </c>
      <c r="G54" s="102">
        <f>ROUND((E54*F54),2)</f>
        <v>288.60000000000002</v>
      </c>
      <c r="H54" s="35"/>
    </row>
    <row r="55" spans="1:8" s="34" customFormat="1" x14ac:dyDescent="0.2">
      <c r="A55" s="36" t="s">
        <v>57</v>
      </c>
      <c r="B55" s="858" t="s">
        <v>58</v>
      </c>
      <c r="C55" s="859"/>
      <c r="D55" s="859"/>
      <c r="E55" s="113">
        <f>138.6</f>
        <v>138.6</v>
      </c>
      <c r="F55" s="114">
        <v>1</v>
      </c>
      <c r="G55" s="102">
        <f>ROUND((E55*F55),2)</f>
        <v>138.6</v>
      </c>
      <c r="H55" s="35"/>
    </row>
    <row r="56" spans="1:8" s="34" customFormat="1" x14ac:dyDescent="0.2">
      <c r="A56" s="36" t="s">
        <v>30</v>
      </c>
      <c r="B56" s="858" t="s">
        <v>255</v>
      </c>
      <c r="C56" s="859"/>
      <c r="D56" s="859"/>
      <c r="E56" s="113">
        <v>34.94</v>
      </c>
      <c r="F56" s="114">
        <v>1</v>
      </c>
      <c r="G56" s="102">
        <f>ROUND((E56*F56),2)</f>
        <v>34.94</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217</v>
      </c>
      <c r="C58" s="859"/>
      <c r="D58" s="859"/>
      <c r="E58" s="113">
        <f>ROUND(((F18/220)*8)*1.5,2)</f>
        <v>94.49</v>
      </c>
      <c r="F58" s="114">
        <v>1</v>
      </c>
      <c r="G58" s="102">
        <f>ROUND((E58*F58)/12,2)</f>
        <v>7.87</v>
      </c>
      <c r="H58" s="35"/>
    </row>
    <row r="59" spans="1:8" s="34" customFormat="1" x14ac:dyDescent="0.2">
      <c r="A59" s="36" t="s">
        <v>34</v>
      </c>
      <c r="B59" s="864" t="s">
        <v>180</v>
      </c>
      <c r="C59" s="865"/>
      <c r="D59" s="865"/>
      <c r="E59" s="113">
        <f>9.31</f>
        <v>9.31</v>
      </c>
      <c r="F59" s="115">
        <v>1</v>
      </c>
      <c r="G59" s="116">
        <f>ROUND((E59*F59),2)</f>
        <v>9.31</v>
      </c>
      <c r="H59" s="35"/>
    </row>
    <row r="60" spans="1:8" s="34" customFormat="1" x14ac:dyDescent="0.2">
      <c r="A60" s="36" t="s">
        <v>48</v>
      </c>
      <c r="B60" s="858" t="s">
        <v>152</v>
      </c>
      <c r="C60" s="859"/>
      <c r="D60" s="859"/>
      <c r="E60" s="113">
        <v>0</v>
      </c>
      <c r="F60" s="114">
        <v>1</v>
      </c>
      <c r="G60" s="117">
        <f>ROUND((E60*F60),2)</f>
        <v>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479.32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556.64</v>
      </c>
      <c r="H65" s="4"/>
    </row>
    <row r="66" spans="1:8" x14ac:dyDescent="0.2">
      <c r="A66" s="119" t="s">
        <v>64</v>
      </c>
      <c r="B66" s="806" t="s">
        <v>128</v>
      </c>
      <c r="C66" s="807"/>
      <c r="D66" s="807"/>
      <c r="E66" s="807"/>
      <c r="F66" s="18">
        <f>F51</f>
        <v>0.33800000000000002</v>
      </c>
      <c r="G66" s="120">
        <f>G51</f>
        <v>688.17</v>
      </c>
      <c r="H66" s="4"/>
    </row>
    <row r="67" spans="1:8" x14ac:dyDescent="0.2">
      <c r="A67" s="119" t="s">
        <v>65</v>
      </c>
      <c r="B67" s="806" t="s">
        <v>66</v>
      </c>
      <c r="C67" s="807"/>
      <c r="D67" s="807"/>
      <c r="E67" s="807"/>
      <c r="F67" s="808"/>
      <c r="G67" s="120">
        <f>G63</f>
        <v>479.32</v>
      </c>
      <c r="H67" s="4"/>
    </row>
    <row r="68" spans="1:8" x14ac:dyDescent="0.2">
      <c r="A68" s="815" t="s">
        <v>67</v>
      </c>
      <c r="B68" s="816"/>
      <c r="C68" s="816"/>
      <c r="D68" s="816"/>
      <c r="E68" s="816"/>
      <c r="F68" s="817"/>
      <c r="G68" s="104">
        <f>SUM(G65:G67)</f>
        <v>1724.13</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EPI''s'!I17</f>
        <v>0</v>
      </c>
      <c r="F108" s="24">
        <v>1</v>
      </c>
      <c r="G108" s="102">
        <f>ROUND((E108*F108),2)</f>
        <v>0</v>
      </c>
      <c r="H108" s="4"/>
    </row>
    <row r="109" spans="1:8" s="34" customFormat="1" x14ac:dyDescent="0.2">
      <c r="A109" s="36" t="s">
        <v>29</v>
      </c>
      <c r="B109" s="846" t="str">
        <f>'Uniformes e EPI''s'!A19</f>
        <v>EPI's</v>
      </c>
      <c r="C109" s="801"/>
      <c r="D109" s="801"/>
      <c r="E109" s="44">
        <f>'Uniformes e EPI''s'!H39</f>
        <v>0</v>
      </c>
      <c r="F109" s="46">
        <v>1</v>
      </c>
      <c r="G109" s="102">
        <f>ROUND((E109*F109),2)</f>
        <v>0</v>
      </c>
      <c r="H109" s="35"/>
    </row>
    <row r="110" spans="1:8" s="34" customFormat="1" x14ac:dyDescent="0.2">
      <c r="A110" s="36" t="s">
        <v>30</v>
      </c>
      <c r="B110" s="800" t="s">
        <v>59</v>
      </c>
      <c r="C110" s="801"/>
      <c r="D110" s="801"/>
      <c r="E110" s="44">
        <v>0</v>
      </c>
      <c r="F110" s="47">
        <v>1</v>
      </c>
      <c r="G110" s="102">
        <f t="shared" ref="G110:G115" si="3">ROUND((E110*F110),2)</f>
        <v>0</v>
      </c>
      <c r="H110" s="35"/>
    </row>
    <row r="111" spans="1:8" s="34" customFormat="1" x14ac:dyDescent="0.2">
      <c r="A111" s="166" t="s">
        <v>31</v>
      </c>
      <c r="B111" s="800" t="s">
        <v>59</v>
      </c>
      <c r="C111" s="801"/>
      <c r="D111" s="801"/>
      <c r="E111" s="44">
        <v>0</v>
      </c>
      <c r="F111" s="47">
        <v>1</v>
      </c>
      <c r="G111" s="102">
        <f t="shared" si="3"/>
        <v>0</v>
      </c>
      <c r="H111" s="35"/>
    </row>
    <row r="112" spans="1:8" s="34" customFormat="1" x14ac:dyDescent="0.2">
      <c r="A112" s="36" t="s">
        <v>32</v>
      </c>
      <c r="B112" s="800" t="s">
        <v>59</v>
      </c>
      <c r="C112" s="801"/>
      <c r="D112" s="801"/>
      <c r="E112" s="44">
        <v>0</v>
      </c>
      <c r="F112" s="47">
        <v>1</v>
      </c>
      <c r="G112" s="102">
        <f t="shared" si="3"/>
        <v>0</v>
      </c>
      <c r="H112" s="35"/>
    </row>
    <row r="113" spans="1:8" s="34" customFormat="1" x14ac:dyDescent="0.2">
      <c r="A113" s="36" t="s">
        <v>34</v>
      </c>
      <c r="B113" s="800" t="s">
        <v>59</v>
      </c>
      <c r="C113" s="801"/>
      <c r="D113" s="801"/>
      <c r="E113" s="44">
        <v>0</v>
      </c>
      <c r="F113" s="47">
        <v>1</v>
      </c>
      <c r="G113" s="102">
        <f t="shared" si="3"/>
        <v>0</v>
      </c>
      <c r="H113" s="35"/>
    </row>
    <row r="114" spans="1:8" s="34" customFormat="1" x14ac:dyDescent="0.2">
      <c r="A114" s="166" t="s">
        <v>48</v>
      </c>
      <c r="B114" s="800" t="s">
        <v>59</v>
      </c>
      <c r="C114" s="801"/>
      <c r="D114" s="801"/>
      <c r="E114" s="44">
        <v>0</v>
      </c>
      <c r="F114" s="47">
        <v>1</v>
      </c>
      <c r="G114" s="102">
        <f t="shared" si="3"/>
        <v>0</v>
      </c>
      <c r="H114" s="35"/>
    </row>
    <row r="115" spans="1:8" s="34" customFormat="1" x14ac:dyDescent="0.2">
      <c r="A115" s="36" t="s">
        <v>50</v>
      </c>
      <c r="B115" s="847" t="s">
        <v>59</v>
      </c>
      <c r="C115" s="848"/>
      <c r="D115" s="848"/>
      <c r="E115" s="44">
        <v>0</v>
      </c>
      <c r="F115" s="47">
        <v>1</v>
      </c>
      <c r="G115" s="102">
        <f t="shared" si="3"/>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0.03</v>
      </c>
      <c r="G124" s="106">
        <f ca="1">ROUND(G$139*F124,2)</f>
        <v>116.29</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0.03</v>
      </c>
      <c r="G127" s="128">
        <f ca="1">SUM(G122:G126)</f>
        <v>116.29</v>
      </c>
      <c r="H127" s="4">
        <f ca="1">ROUND(G139*F127,2)</f>
        <v>116.29</v>
      </c>
    </row>
    <row r="128" spans="1:8" x14ac:dyDescent="0.2">
      <c r="A128" s="815" t="s">
        <v>104</v>
      </c>
      <c r="B128" s="816"/>
      <c r="C128" s="816"/>
      <c r="D128" s="816"/>
      <c r="E128" s="816"/>
      <c r="F128" s="23">
        <f>SUM(F119,F120,F127)</f>
        <v>0.03</v>
      </c>
      <c r="G128" s="124">
        <f ca="1">SUM(G119:G126)</f>
        <v>116.29</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2035.99</v>
      </c>
      <c r="H130" s="4"/>
    </row>
    <row r="131" spans="1:8" x14ac:dyDescent="0.2">
      <c r="A131" s="119" t="s">
        <v>29</v>
      </c>
      <c r="B131" s="806" t="s">
        <v>107</v>
      </c>
      <c r="C131" s="807"/>
      <c r="D131" s="807"/>
      <c r="E131" s="807"/>
      <c r="F131" s="808"/>
      <c r="G131" s="120">
        <f>G68</f>
        <v>1724.13</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3760.12</v>
      </c>
      <c r="H135" s="4"/>
    </row>
    <row r="136" spans="1:8" x14ac:dyDescent="0.2">
      <c r="A136" s="119" t="s">
        <v>34</v>
      </c>
      <c r="B136" s="812" t="s">
        <v>112</v>
      </c>
      <c r="C136" s="813"/>
      <c r="D136" s="813"/>
      <c r="E136" s="813"/>
      <c r="F136" s="814"/>
      <c r="G136" s="120">
        <f ca="1">G128</f>
        <v>116.29</v>
      </c>
      <c r="H136" s="4"/>
    </row>
    <row r="137" spans="1:8" x14ac:dyDescent="0.2">
      <c r="A137" s="815" t="s">
        <v>113</v>
      </c>
      <c r="B137" s="816"/>
      <c r="C137" s="816"/>
      <c r="D137" s="816"/>
      <c r="E137" s="816"/>
      <c r="F137" s="817"/>
      <c r="G137" s="104">
        <f ca="1">SUM(G135:G136)</f>
        <v>3876.41</v>
      </c>
      <c r="H137" s="4">
        <f ca="1">SUM(G130:G136)-G135</f>
        <v>3876.41</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3876.41</v>
      </c>
      <c r="H139" s="4"/>
    </row>
    <row r="140" spans="1:8" x14ac:dyDescent="0.2">
      <c r="A140" s="1300"/>
      <c r="B140" s="1301" t="s">
        <v>115</v>
      </c>
      <c r="C140" s="1301"/>
      <c r="D140" s="1301"/>
      <c r="E140" s="1301"/>
      <c r="F140" s="1302">
        <f>F21</f>
        <v>1</v>
      </c>
      <c r="G140" s="1303">
        <f ca="1">G139*F140</f>
        <v>3876.41</v>
      </c>
      <c r="H140" s="4"/>
    </row>
    <row r="141" spans="1:8" x14ac:dyDescent="0.2">
      <c r="F141" s="353"/>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A138:G138"/>
    <mergeCell ref="B132:F132"/>
    <mergeCell ref="B133:F133"/>
    <mergeCell ref="B134:F134"/>
    <mergeCell ref="B135:F135"/>
    <mergeCell ref="B136:F136"/>
    <mergeCell ref="A137:F137"/>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8"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477</v>
      </c>
      <c r="G7" s="913"/>
    </row>
    <row r="8" spans="1:8" ht="19.5" customHeight="1" x14ac:dyDescent="0.2">
      <c r="A8" s="917" t="s">
        <v>146</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v>2025</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476</v>
      </c>
      <c r="G16" s="894"/>
      <c r="H16" s="3"/>
    </row>
    <row r="17" spans="1:8" ht="14.1" customHeight="1" x14ac:dyDescent="0.2">
      <c r="A17" s="877" t="s">
        <v>21</v>
      </c>
      <c r="B17" s="878"/>
      <c r="C17" s="878"/>
      <c r="D17" s="878"/>
      <c r="E17" s="879"/>
      <c r="F17" s="893" t="s">
        <v>411</v>
      </c>
      <c r="G17" s="894"/>
      <c r="H17" s="3"/>
    </row>
    <row r="18" spans="1:8" ht="14.1" customHeight="1" x14ac:dyDescent="0.2">
      <c r="A18" s="877" t="s">
        <v>1</v>
      </c>
      <c r="B18" s="878"/>
      <c r="C18" s="878"/>
      <c r="D18" s="878"/>
      <c r="E18" s="879"/>
      <c r="F18" s="887">
        <v>1872.8</v>
      </c>
      <c r="G18" s="888"/>
    </row>
    <row r="19" spans="1:8" ht="14.1" customHeight="1" x14ac:dyDescent="0.2">
      <c r="A19" s="882" t="s">
        <v>8</v>
      </c>
      <c r="B19" s="883"/>
      <c r="C19" s="883"/>
      <c r="D19" s="883"/>
      <c r="E19" s="884"/>
      <c r="F19" s="889">
        <v>45658</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1</v>
      </c>
      <c r="G22" s="886"/>
    </row>
    <row r="23" spans="1:8" ht="12.75" customHeight="1" x14ac:dyDescent="0.2">
      <c r="A23" s="882" t="s">
        <v>25</v>
      </c>
      <c r="B23" s="883"/>
      <c r="C23" s="883"/>
      <c r="D23" s="883"/>
      <c r="E23" s="884"/>
      <c r="F23" s="895" t="s">
        <v>214</v>
      </c>
      <c r="G23" s="896"/>
    </row>
    <row r="24" spans="1:8" ht="25.5" customHeight="1" x14ac:dyDescent="0.2">
      <c r="A24" s="923" t="s">
        <v>413</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354" t="s">
        <v>27</v>
      </c>
      <c r="G26" s="99" t="s">
        <v>3</v>
      </c>
    </row>
    <row r="27" spans="1:8" s="34" customFormat="1" x14ac:dyDescent="0.2">
      <c r="A27" s="100" t="s">
        <v>28</v>
      </c>
      <c r="B27" s="872" t="s">
        <v>153</v>
      </c>
      <c r="C27" s="872"/>
      <c r="D27" s="872"/>
      <c r="E27" s="872"/>
      <c r="F27" s="101">
        <v>1</v>
      </c>
      <c r="G27" s="102">
        <f>F18*F27</f>
        <v>1872.8</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0.4</v>
      </c>
      <c r="G29" s="102">
        <f>ROUND(F15*F29,2)</f>
        <v>607.20000000000005</v>
      </c>
      <c r="H29" s="55"/>
    </row>
    <row r="30" spans="1:8" s="34" customFormat="1" x14ac:dyDescent="0.2">
      <c r="A30" s="100" t="s">
        <v>31</v>
      </c>
      <c r="B30" s="870" t="s">
        <v>154</v>
      </c>
      <c r="C30" s="870"/>
      <c r="D30" s="870"/>
      <c r="E30" s="870"/>
      <c r="F30" s="103">
        <v>0</v>
      </c>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2480</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206.58</v>
      </c>
      <c r="H37" s="53"/>
    </row>
    <row r="38" spans="1:8" x14ac:dyDescent="0.2">
      <c r="A38" s="107" t="s">
        <v>29</v>
      </c>
      <c r="B38" s="854" t="s">
        <v>157</v>
      </c>
      <c r="C38" s="855"/>
      <c r="D38" s="855"/>
      <c r="E38" s="867"/>
      <c r="F38" s="108">
        <f>ROUND((1/11)+(1/11)/3, 3)</f>
        <v>0.121</v>
      </c>
      <c r="G38" s="8">
        <f>ROUND(G$34*F38,2)</f>
        <v>300.08</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171.37</v>
      </c>
      <c r="H40" s="4"/>
    </row>
    <row r="41" spans="1:8" x14ac:dyDescent="0.2">
      <c r="A41" s="842" t="s">
        <v>41</v>
      </c>
      <c r="B41" s="843"/>
      <c r="C41" s="843"/>
      <c r="D41" s="843"/>
      <c r="E41" s="841"/>
      <c r="F41" s="41">
        <f>ROUND(SUM(F39:F40),4)</f>
        <v>0.27339999999999998</v>
      </c>
      <c r="G41" s="111">
        <f>SUM(G37:G40)</f>
        <v>678.03</v>
      </c>
      <c r="H41" s="4">
        <f>ROUND(G34*F41,2)</f>
        <v>678.03</v>
      </c>
    </row>
    <row r="42" spans="1:8" x14ac:dyDescent="0.2">
      <c r="A42" s="835" t="s">
        <v>118</v>
      </c>
      <c r="B42" s="836"/>
      <c r="C42" s="836"/>
      <c r="D42" s="836"/>
      <c r="E42" s="836"/>
      <c r="F42" s="836"/>
      <c r="G42" s="837"/>
      <c r="H42" s="4">
        <f>SUM(G41,G34)</f>
        <v>3158.03</v>
      </c>
    </row>
    <row r="43" spans="1:8" x14ac:dyDescent="0.2">
      <c r="A43" s="42" t="s">
        <v>28</v>
      </c>
      <c r="B43" s="838" t="s">
        <v>42</v>
      </c>
      <c r="C43" s="839"/>
      <c r="D43" s="839"/>
      <c r="E43" s="869"/>
      <c r="F43" s="43">
        <v>0.2</v>
      </c>
      <c r="G43" s="22">
        <f>ROUND((G$34)*F43,2)</f>
        <v>496</v>
      </c>
      <c r="H43" s="4"/>
    </row>
    <row r="44" spans="1:8" x14ac:dyDescent="0.2">
      <c r="A44" s="36" t="s">
        <v>29</v>
      </c>
      <c r="B44" s="852" t="s">
        <v>43</v>
      </c>
      <c r="C44" s="853"/>
      <c r="D44" s="853"/>
      <c r="E44" s="866"/>
      <c r="F44" s="105">
        <v>2.5000000000000001E-2</v>
      </c>
      <c r="G44" s="112">
        <f>ROUND((G$34)*F44,2)</f>
        <v>62</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37.200000000000003</v>
      </c>
      <c r="H46" s="4"/>
    </row>
    <row r="47" spans="1:8" x14ac:dyDescent="0.2">
      <c r="A47" s="36" t="s">
        <v>32</v>
      </c>
      <c r="B47" s="852" t="s">
        <v>46</v>
      </c>
      <c r="C47" s="853"/>
      <c r="D47" s="853"/>
      <c r="E47" s="866"/>
      <c r="F47" s="105">
        <v>0.01</v>
      </c>
      <c r="G47" s="112">
        <f t="shared" si="0"/>
        <v>24.8</v>
      </c>
      <c r="H47" s="4"/>
    </row>
    <row r="48" spans="1:8" x14ac:dyDescent="0.2">
      <c r="A48" s="36" t="s">
        <v>34</v>
      </c>
      <c r="B48" s="852" t="s">
        <v>47</v>
      </c>
      <c r="C48" s="853"/>
      <c r="D48" s="853"/>
      <c r="E48" s="866"/>
      <c r="F48" s="105">
        <v>6.0000000000000001E-3</v>
      </c>
      <c r="G48" s="112">
        <f t="shared" si="0"/>
        <v>14.88</v>
      </c>
      <c r="H48" s="4"/>
    </row>
    <row r="49" spans="1:8" x14ac:dyDescent="0.2">
      <c r="A49" s="36" t="s">
        <v>48</v>
      </c>
      <c r="B49" s="852" t="s">
        <v>49</v>
      </c>
      <c r="C49" s="853"/>
      <c r="D49" s="853"/>
      <c r="E49" s="866"/>
      <c r="F49" s="105">
        <v>2E-3</v>
      </c>
      <c r="G49" s="112">
        <f t="shared" si="0"/>
        <v>4.96</v>
      </c>
      <c r="H49" s="4"/>
    </row>
    <row r="50" spans="1:8" x14ac:dyDescent="0.2">
      <c r="A50" s="107" t="s">
        <v>50</v>
      </c>
      <c r="B50" s="854" t="s">
        <v>51</v>
      </c>
      <c r="C50" s="855"/>
      <c r="D50" s="855"/>
      <c r="E50" s="867"/>
      <c r="F50" s="108">
        <v>0.08</v>
      </c>
      <c r="G50" s="112">
        <f t="shared" si="0"/>
        <v>198.4</v>
      </c>
      <c r="H50" s="4"/>
    </row>
    <row r="51" spans="1:8" x14ac:dyDescent="0.2">
      <c r="A51" s="842" t="s">
        <v>52</v>
      </c>
      <c r="B51" s="843"/>
      <c r="C51" s="843"/>
      <c r="D51" s="843"/>
      <c r="E51" s="841"/>
      <c r="F51" s="41">
        <f>SUM(F43:F50)</f>
        <v>0.33800000000000002</v>
      </c>
      <c r="G51" s="111">
        <f>SUM(G43:G50)</f>
        <v>838.24</v>
      </c>
      <c r="H51" s="4">
        <f>ROUND(G34*F51,2)</f>
        <v>838.24</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29</v>
      </c>
      <c r="B54" s="858" t="s">
        <v>56</v>
      </c>
      <c r="C54" s="859"/>
      <c r="D54" s="859"/>
      <c r="E54" s="113">
        <f>20.76-1.39</f>
        <v>19.37</v>
      </c>
      <c r="F54" s="114">
        <v>26</v>
      </c>
      <c r="G54" s="102">
        <f>ROUND((E54*F54),2)</f>
        <v>503.62</v>
      </c>
      <c r="H54" s="35"/>
    </row>
    <row r="55" spans="1:8" s="34" customFormat="1" x14ac:dyDescent="0.2">
      <c r="A55" s="36" t="s">
        <v>30</v>
      </c>
      <c r="B55" s="858" t="s">
        <v>58</v>
      </c>
      <c r="C55" s="859"/>
      <c r="D55" s="859"/>
      <c r="E55" s="113">
        <v>144.68</v>
      </c>
      <c r="F55" s="114">
        <v>1</v>
      </c>
      <c r="G55" s="102">
        <f>ROUND((E55*F55),2)</f>
        <v>144.68</v>
      </c>
      <c r="H55" s="35"/>
    </row>
    <row r="56" spans="1:8" s="34" customFormat="1" x14ac:dyDescent="0.2">
      <c r="A56" s="36" t="s">
        <v>31</v>
      </c>
      <c r="B56" s="858" t="s">
        <v>149</v>
      </c>
      <c r="C56" s="859"/>
      <c r="D56" s="859"/>
      <c r="E56" s="113">
        <v>35.33</v>
      </c>
      <c r="F56" s="114">
        <v>1</v>
      </c>
      <c r="G56" s="102">
        <f>ROUND((E56*F56),2)</f>
        <v>35.33</v>
      </c>
      <c r="H56" s="35"/>
    </row>
    <row r="57" spans="1:8" s="34" customFormat="1" x14ac:dyDescent="0.2">
      <c r="A57" s="36" t="s">
        <v>32</v>
      </c>
      <c r="B57" s="858" t="s">
        <v>179</v>
      </c>
      <c r="C57" s="859"/>
      <c r="D57" s="859"/>
      <c r="E57" s="1264">
        <f>ROUND((F18*30%)*5%,2)*0</f>
        <v>0</v>
      </c>
      <c r="F57" s="114">
        <v>1</v>
      </c>
      <c r="G57" s="102">
        <f>ROUND((E57*F57),2)</f>
        <v>0</v>
      </c>
      <c r="H57" s="35"/>
    </row>
    <row r="58" spans="1:8" s="34" customFormat="1" x14ac:dyDescent="0.2">
      <c r="A58" s="36" t="s">
        <v>34</v>
      </c>
      <c r="B58" s="858" t="s">
        <v>150</v>
      </c>
      <c r="C58" s="859"/>
      <c r="D58" s="859"/>
      <c r="E58" s="113">
        <f>20.76</f>
        <v>20.76</v>
      </c>
      <c r="F58" s="114">
        <v>1</v>
      </c>
      <c r="G58" s="102">
        <f>ROUND((E58*F58)/12,2)</f>
        <v>1.73</v>
      </c>
      <c r="H58" s="35"/>
    </row>
    <row r="59" spans="1:8" s="34" customFormat="1" x14ac:dyDescent="0.2">
      <c r="A59" s="36" t="s">
        <v>48</v>
      </c>
      <c r="B59" s="864" t="s">
        <v>180</v>
      </c>
      <c r="C59" s="865"/>
      <c r="D59" s="865"/>
      <c r="E59" s="113">
        <f>15.96</f>
        <v>15.96</v>
      </c>
      <c r="F59" s="115">
        <v>1</v>
      </c>
      <c r="G59" s="116">
        <f>ROUND((E59*F59),2)</f>
        <v>15.96</v>
      </c>
      <c r="H59" s="35"/>
    </row>
    <row r="60" spans="1:8" s="34" customFormat="1" x14ac:dyDescent="0.2">
      <c r="A60" s="36" t="s">
        <v>50</v>
      </c>
      <c r="B60" s="858" t="s">
        <v>254</v>
      </c>
      <c r="C60" s="859"/>
      <c r="D60" s="859"/>
      <c r="E60" s="113">
        <v>300</v>
      </c>
      <c r="F60" s="114">
        <v>1</v>
      </c>
      <c r="G60" s="102">
        <f>ROUND((E60*F60),2)</f>
        <v>300</v>
      </c>
      <c r="H60" s="35"/>
    </row>
    <row r="61" spans="1:8" s="34" customFormat="1" x14ac:dyDescent="0.2">
      <c r="A61" s="100" t="s">
        <v>151</v>
      </c>
      <c r="B61" s="858" t="s">
        <v>152</v>
      </c>
      <c r="C61" s="859"/>
      <c r="D61" s="859"/>
      <c r="E61" s="113">
        <v>0</v>
      </c>
      <c r="F61" s="114">
        <v>1</v>
      </c>
      <c r="G61" s="117">
        <f>ROUND((E61*F61),2)</f>
        <v>0</v>
      </c>
      <c r="H61" s="35"/>
    </row>
    <row r="62" spans="1:8" s="34" customFormat="1" x14ac:dyDescent="0.2">
      <c r="A62" s="36" t="s">
        <v>414</v>
      </c>
      <c r="B62" s="862" t="s">
        <v>152</v>
      </c>
      <c r="C62" s="863"/>
      <c r="D62" s="863"/>
      <c r="E62" s="118">
        <v>0</v>
      </c>
      <c r="F62" s="114">
        <v>1</v>
      </c>
      <c r="G62" s="102">
        <v>0</v>
      </c>
      <c r="H62" s="35"/>
    </row>
    <row r="63" spans="1:8" x14ac:dyDescent="0.2">
      <c r="A63" s="815" t="s">
        <v>60</v>
      </c>
      <c r="B63" s="816"/>
      <c r="C63" s="816"/>
      <c r="D63" s="816"/>
      <c r="E63" s="816"/>
      <c r="F63" s="817"/>
      <c r="G63" s="104">
        <f>SUM(G53:G62)</f>
        <v>1001.32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678.03</v>
      </c>
      <c r="H65" s="4"/>
    </row>
    <row r="66" spans="1:8" x14ac:dyDescent="0.2">
      <c r="A66" s="119" t="s">
        <v>64</v>
      </c>
      <c r="B66" s="806" t="s">
        <v>128</v>
      </c>
      <c r="C66" s="807"/>
      <c r="D66" s="807"/>
      <c r="E66" s="807"/>
      <c r="F66" s="18">
        <f>F51</f>
        <v>0.33800000000000002</v>
      </c>
      <c r="G66" s="120">
        <f>G51</f>
        <v>838.24</v>
      </c>
      <c r="H66" s="4"/>
    </row>
    <row r="67" spans="1:8" x14ac:dyDescent="0.2">
      <c r="A67" s="119" t="s">
        <v>65</v>
      </c>
      <c r="B67" s="806" t="s">
        <v>66</v>
      </c>
      <c r="C67" s="807"/>
      <c r="D67" s="807"/>
      <c r="E67" s="807"/>
      <c r="F67" s="808"/>
      <c r="G67" s="120">
        <f>G63</f>
        <v>1001.32</v>
      </c>
      <c r="H67" s="4"/>
    </row>
    <row r="68" spans="1:8" x14ac:dyDescent="0.2">
      <c r="A68" s="815" t="s">
        <v>67</v>
      </c>
      <c r="B68" s="816"/>
      <c r="C68" s="816"/>
      <c r="D68" s="816"/>
      <c r="E68" s="816"/>
      <c r="F68" s="817"/>
      <c r="G68" s="104">
        <f>SUM(G65:G67)</f>
        <v>2517.59</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EPI''s'!I17</f>
        <v>0</v>
      </c>
      <c r="F108" s="24">
        <v>1</v>
      </c>
      <c r="G108" s="102">
        <f>ROUND(SUM(C108:E108),2)*F108</f>
        <v>0</v>
      </c>
      <c r="H108" s="4"/>
    </row>
    <row r="109" spans="1:8" s="34" customFormat="1" x14ac:dyDescent="0.2">
      <c r="A109" s="36" t="s">
        <v>29</v>
      </c>
      <c r="B109" s="846" t="str">
        <f>'Uniformes e EPI''s'!A19</f>
        <v>EPI's</v>
      </c>
      <c r="C109" s="801"/>
      <c r="D109" s="801"/>
      <c r="E109" s="44">
        <f>'Uniformes e EPI''s'!H39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f>ROUND((E114*F114)/12,2)</f>
        <v>0</v>
      </c>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0.03</v>
      </c>
      <c r="G124" s="106">
        <f ca="1">ROUND(G$139*F124,2)</f>
        <v>154.56</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0.03</v>
      </c>
      <c r="G127" s="128">
        <f ca="1">SUM(G122:G126)</f>
        <v>154.56</v>
      </c>
      <c r="H127" s="4">
        <f ca="1">ROUND(G139*F127,2)</f>
        <v>154.56</v>
      </c>
    </row>
    <row r="128" spans="1:8" x14ac:dyDescent="0.2">
      <c r="A128" s="815" t="s">
        <v>104</v>
      </c>
      <c r="B128" s="816"/>
      <c r="C128" s="816"/>
      <c r="D128" s="816"/>
      <c r="E128" s="816"/>
      <c r="F128" s="23">
        <f>SUM(F119,F120,F127)</f>
        <v>0.03</v>
      </c>
      <c r="G128" s="124">
        <f ca="1">SUM(G119:G126)</f>
        <v>154.56</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2480</v>
      </c>
      <c r="H130" s="4"/>
    </row>
    <row r="131" spans="1:8" x14ac:dyDescent="0.2">
      <c r="A131" s="119" t="s">
        <v>29</v>
      </c>
      <c r="B131" s="806" t="s">
        <v>107</v>
      </c>
      <c r="C131" s="807"/>
      <c r="D131" s="807"/>
      <c r="E131" s="807"/>
      <c r="F131" s="808"/>
      <c r="G131" s="120">
        <f>G68</f>
        <v>2517.59</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4997.59</v>
      </c>
      <c r="H135" s="4"/>
    </row>
    <row r="136" spans="1:8" x14ac:dyDescent="0.2">
      <c r="A136" s="119" t="s">
        <v>34</v>
      </c>
      <c r="B136" s="812" t="s">
        <v>112</v>
      </c>
      <c r="C136" s="813"/>
      <c r="D136" s="813"/>
      <c r="E136" s="813"/>
      <c r="F136" s="814"/>
      <c r="G136" s="120">
        <f ca="1">G128</f>
        <v>154.56</v>
      </c>
      <c r="H136" s="4"/>
    </row>
    <row r="137" spans="1:8" x14ac:dyDescent="0.2">
      <c r="A137" s="815" t="s">
        <v>113</v>
      </c>
      <c r="B137" s="816"/>
      <c r="C137" s="816"/>
      <c r="D137" s="816"/>
      <c r="E137" s="816"/>
      <c r="F137" s="817"/>
      <c r="G137" s="104">
        <f ca="1">SUM(G135:G136)</f>
        <v>5152.1499999999996</v>
      </c>
      <c r="H137" s="4">
        <f ca="1">SUM(G130:G136)-G135</f>
        <v>5152.1499999999996</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5152.1499999999996</v>
      </c>
      <c r="H139" s="4"/>
    </row>
    <row r="140" spans="1:8" x14ac:dyDescent="0.2">
      <c r="A140" s="1300"/>
      <c r="B140" s="1301" t="s">
        <v>115</v>
      </c>
      <c r="C140" s="1301"/>
      <c r="D140" s="1301"/>
      <c r="E140" s="1301"/>
      <c r="F140" s="1302">
        <f>F21</f>
        <v>1</v>
      </c>
      <c r="G140" s="1303">
        <f ca="1">G139*F140</f>
        <v>5152.1499999999996</v>
      </c>
      <c r="H140" s="4"/>
    </row>
    <row r="141" spans="1:8" x14ac:dyDescent="0.2">
      <c r="F141" s="353"/>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A138:G138"/>
    <mergeCell ref="B132:F132"/>
    <mergeCell ref="B133:F133"/>
    <mergeCell ref="B134:F134"/>
    <mergeCell ref="B135:F135"/>
    <mergeCell ref="B136:F136"/>
    <mergeCell ref="A137:F137"/>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M191"/>
  <sheetViews>
    <sheetView showGridLines="0" view="pageBreakPreview" topLeftCell="A52" zoomScaleNormal="100" zoomScaleSheetLayoutView="100" workbookViewId="0">
      <selection activeCell="B3" sqref="B3:H3"/>
    </sheetView>
  </sheetViews>
  <sheetFormatPr defaultColWidth="11.42578125" defaultRowHeight="16.5" x14ac:dyDescent="0.3"/>
  <cols>
    <col min="1" max="1" width="3" style="56" bestFit="1" customWidth="1"/>
    <col min="2" max="2" width="44.28515625" style="56" customWidth="1"/>
    <col min="3" max="6" width="14.5703125" style="56" customWidth="1"/>
    <col min="7" max="7" width="17.7109375" style="56" customWidth="1"/>
    <col min="8" max="8" width="14.5703125" style="56" customWidth="1"/>
    <col min="9" max="9" width="14.140625" style="56" bestFit="1" customWidth="1"/>
    <col min="10" max="16384" width="11.42578125" style="56"/>
  </cols>
  <sheetData>
    <row r="1" spans="2:12" s="33" customFormat="1" ht="26.25" customHeight="1" x14ac:dyDescent="0.3">
      <c r="B1" s="970" t="s">
        <v>471</v>
      </c>
      <c r="C1" s="971"/>
      <c r="D1" s="971"/>
      <c r="E1" s="971"/>
      <c r="F1" s="971"/>
      <c r="G1" s="971"/>
      <c r="H1" s="972"/>
      <c r="I1" s="56"/>
      <c r="L1" s="50"/>
    </row>
    <row r="2" spans="2:12" s="33" customFormat="1" ht="26.25" customHeight="1" thickBot="1" x14ac:dyDescent="0.35">
      <c r="B2" s="973" t="s">
        <v>507</v>
      </c>
      <c r="C2" s="974"/>
      <c r="D2" s="974"/>
      <c r="E2" s="974"/>
      <c r="F2" s="974"/>
      <c r="G2" s="974"/>
      <c r="H2" s="975"/>
      <c r="I2" s="56"/>
      <c r="L2" s="50"/>
    </row>
    <row r="3" spans="2:12" s="33" customFormat="1" ht="38.25" customHeight="1" thickBot="1" x14ac:dyDescent="0.35">
      <c r="B3" s="976" t="s">
        <v>392</v>
      </c>
      <c r="C3" s="977"/>
      <c r="D3" s="977"/>
      <c r="E3" s="977"/>
      <c r="F3" s="977"/>
      <c r="G3" s="977"/>
      <c r="H3" s="978"/>
      <c r="I3" s="56"/>
      <c r="J3" s="950"/>
      <c r="K3" s="950"/>
      <c r="L3" s="50"/>
    </row>
    <row r="4" spans="2:12" ht="15.95" customHeight="1" x14ac:dyDescent="0.3">
      <c r="B4" s="965" t="s">
        <v>159</v>
      </c>
      <c r="C4" s="966"/>
      <c r="D4" s="966"/>
      <c r="E4" s="966"/>
      <c r="F4" s="966"/>
      <c r="G4" s="966"/>
      <c r="H4" s="967"/>
    </row>
    <row r="5" spans="2:12" ht="15.95" customHeight="1" thickBot="1" x14ac:dyDescent="0.35">
      <c r="B5" s="965"/>
      <c r="C5" s="966"/>
      <c r="D5" s="966"/>
      <c r="E5" s="966"/>
      <c r="F5" s="966"/>
      <c r="G5" s="966"/>
      <c r="H5" s="967"/>
    </row>
    <row r="6" spans="2:12" ht="15.95" customHeight="1" thickBot="1" x14ac:dyDescent="0.35">
      <c r="B6" s="168" t="s">
        <v>174</v>
      </c>
      <c r="C6" s="988" t="s">
        <v>479</v>
      </c>
      <c r="D6" s="989"/>
      <c r="E6" s="989"/>
      <c r="F6" s="989"/>
      <c r="G6" s="989"/>
      <c r="H6" s="990"/>
    </row>
    <row r="7" spans="2:12" ht="48.6" customHeight="1" thickBot="1" x14ac:dyDescent="0.35">
      <c r="B7" s="147" t="s">
        <v>193</v>
      </c>
      <c r="C7" s="169" t="s">
        <v>173</v>
      </c>
      <c r="D7" s="546" t="s">
        <v>439</v>
      </c>
      <c r="E7" s="548" t="s">
        <v>244</v>
      </c>
      <c r="F7" s="547" t="s">
        <v>438</v>
      </c>
      <c r="G7" s="81"/>
      <c r="H7" s="71"/>
    </row>
    <row r="8" spans="2:12" ht="15.95" customHeight="1" x14ac:dyDescent="0.3">
      <c r="B8" s="537" t="s">
        <v>237</v>
      </c>
      <c r="C8" s="538">
        <v>613.65</v>
      </c>
      <c r="D8" s="539">
        <v>800</v>
      </c>
      <c r="E8" s="545">
        <f>C8/D8</f>
        <v>0.77</v>
      </c>
      <c r="F8" s="1112">
        <f>ROUNDDOWN(SUM(E8:E13),0)</f>
        <v>11</v>
      </c>
      <c r="G8" s="951"/>
      <c r="H8" s="71"/>
    </row>
    <row r="9" spans="2:12" ht="15.95" customHeight="1" x14ac:dyDescent="0.3">
      <c r="B9" s="540" t="s">
        <v>248</v>
      </c>
      <c r="C9" s="534">
        <v>50562.16</v>
      </c>
      <c r="D9" s="536">
        <v>6000</v>
      </c>
      <c r="E9" s="545">
        <f t="shared" ref="E9:E13" si="0">C9/D9</f>
        <v>8.43</v>
      </c>
      <c r="F9" s="1113"/>
      <c r="G9" s="951"/>
      <c r="H9" s="71"/>
    </row>
    <row r="10" spans="2:12" ht="15.95" customHeight="1" x14ac:dyDescent="0.3">
      <c r="B10" s="540" t="s">
        <v>406</v>
      </c>
      <c r="C10" s="534">
        <v>82.84</v>
      </c>
      <c r="D10" s="535">
        <v>300</v>
      </c>
      <c r="E10" s="545">
        <f t="shared" si="0"/>
        <v>0.28000000000000003</v>
      </c>
      <c r="F10" s="1113"/>
      <c r="G10" s="951"/>
      <c r="H10" s="71"/>
    </row>
    <row r="11" spans="2:12" ht="15.95" customHeight="1" x14ac:dyDescent="0.3">
      <c r="B11" s="540" t="s">
        <v>239</v>
      </c>
      <c r="C11" s="534">
        <v>51.67</v>
      </c>
      <c r="D11" s="535">
        <v>200</v>
      </c>
      <c r="E11" s="545">
        <f t="shared" si="0"/>
        <v>0.26</v>
      </c>
      <c r="F11" s="1113"/>
      <c r="G11" s="951"/>
      <c r="H11" s="71"/>
    </row>
    <row r="12" spans="2:12" ht="15.95" customHeight="1" x14ac:dyDescent="0.3">
      <c r="B12" s="540" t="s">
        <v>403</v>
      </c>
      <c r="C12" s="534">
        <v>88.82</v>
      </c>
      <c r="D12" s="535">
        <v>200</v>
      </c>
      <c r="E12" s="545">
        <f t="shared" si="0"/>
        <v>0.44</v>
      </c>
      <c r="F12" s="1113"/>
      <c r="G12" s="951"/>
      <c r="H12" s="71"/>
    </row>
    <row r="13" spans="2:12" ht="15.95" customHeight="1" thickBot="1" x14ac:dyDescent="0.35">
      <c r="B13" s="541" t="s">
        <v>238</v>
      </c>
      <c r="C13" s="542">
        <v>16000</v>
      </c>
      <c r="D13" s="543">
        <v>15000</v>
      </c>
      <c r="E13" s="545">
        <f t="shared" si="0"/>
        <v>1.07</v>
      </c>
      <c r="F13" s="1114"/>
      <c r="G13" s="355"/>
      <c r="H13" s="71"/>
      <c r="I13" s="155"/>
    </row>
    <row r="14" spans="2:12" ht="15.95" customHeight="1" x14ac:dyDescent="0.3">
      <c r="B14" s="954" t="str">
        <f>'Agente de Hig_CESJC_Diuturno'!F16</f>
        <v>Agente de Higienização - Diuturno</v>
      </c>
      <c r="C14" s="955"/>
      <c r="D14" s="955"/>
      <c r="E14" s="955"/>
      <c r="F14" s="178">
        <f>'Agente de Hig_CESJC_Diuturno'!F22</f>
        <v>2</v>
      </c>
      <c r="G14" s="135"/>
      <c r="H14" s="71"/>
    </row>
    <row r="15" spans="2:12" ht="15.95" customHeight="1" x14ac:dyDescent="0.3">
      <c r="B15" s="1109" t="str">
        <f>'Agente de Higienização_CESJC'!F16</f>
        <v>Agente de Higienização</v>
      </c>
      <c r="C15" s="1110"/>
      <c r="D15" s="1110"/>
      <c r="E15" s="1111"/>
      <c r="F15" s="526">
        <f>'Agente de Higienização_CESJC'!F22</f>
        <v>7</v>
      </c>
      <c r="G15" s="135"/>
      <c r="H15" s="71"/>
    </row>
    <row r="16" spans="2:12" ht="15.95" customHeight="1" x14ac:dyDescent="0.3">
      <c r="B16" s="956" t="str">
        <f>Jardineiro_CESJC!F16</f>
        <v>Jardineiro</v>
      </c>
      <c r="C16" s="957"/>
      <c r="D16" s="957"/>
      <c r="E16" s="957"/>
      <c r="F16" s="179">
        <f>Jardineiro_CESJC!F22</f>
        <v>1</v>
      </c>
      <c r="G16" s="136"/>
      <c r="H16" s="71"/>
    </row>
    <row r="17" spans="2:8" ht="15.95" customHeight="1" x14ac:dyDescent="0.3">
      <c r="B17" s="1090" t="str">
        <f>Líder_CESJC!F16</f>
        <v>Agente de Higienização - Líder</v>
      </c>
      <c r="C17" s="1091"/>
      <c r="D17" s="1091"/>
      <c r="E17" s="1092"/>
      <c r="F17" s="269">
        <f>Líder_CESJC!F22</f>
        <v>1</v>
      </c>
      <c r="G17" s="136"/>
      <c r="H17" s="71"/>
    </row>
    <row r="18" spans="2:8" ht="15.95" customHeight="1" thickBot="1" x14ac:dyDescent="0.35">
      <c r="B18" s="958" t="s">
        <v>446</v>
      </c>
      <c r="C18" s="959"/>
      <c r="D18" s="959"/>
      <c r="E18" s="959"/>
      <c r="F18" s="162">
        <f>SUM(F14:F17)</f>
        <v>11</v>
      </c>
      <c r="G18" s="137"/>
      <c r="H18" s="71"/>
    </row>
    <row r="19" spans="2:8" ht="15.95" customHeight="1" thickBot="1" x14ac:dyDescent="0.35">
      <c r="B19" s="180"/>
      <c r="C19" s="58"/>
      <c r="D19" s="57"/>
      <c r="E19" s="58"/>
      <c r="F19" s="58"/>
      <c r="G19" s="58"/>
      <c r="H19" s="71"/>
    </row>
    <row r="20" spans="2:8" ht="29.45" customHeight="1" thickBot="1" x14ac:dyDescent="0.35">
      <c r="B20" s="82" t="s">
        <v>194</v>
      </c>
      <c r="C20" s="181" t="s">
        <v>178</v>
      </c>
      <c r="D20" s="81"/>
      <c r="E20" s="81"/>
      <c r="F20" s="58"/>
      <c r="G20" s="58"/>
      <c r="H20" s="71"/>
    </row>
    <row r="21" spans="2:8" ht="15.95" customHeight="1" x14ac:dyDescent="0.3">
      <c r="B21" s="361" t="str">
        <f>B14</f>
        <v>Agente de Higienização - Diuturno</v>
      </c>
      <c r="C21" s="183">
        <f ca="1">'Agente de Hig_CESJC_Diuturno'!G140</f>
        <v>5162.6400000000003</v>
      </c>
      <c r="D21" s="80"/>
      <c r="E21" s="80"/>
      <c r="F21" s="58"/>
      <c r="G21" s="58"/>
      <c r="H21" s="73"/>
    </row>
    <row r="22" spans="2:8" ht="15.95" customHeight="1" x14ac:dyDescent="0.3">
      <c r="B22" s="361" t="str">
        <f>B15</f>
        <v>Agente de Higienização</v>
      </c>
      <c r="C22" s="183">
        <f ca="1">'Agente de Higienização_CESJC'!G140</f>
        <v>4893.67</v>
      </c>
      <c r="D22" s="80"/>
      <c r="E22" s="80"/>
      <c r="F22" s="58"/>
      <c r="G22" s="58"/>
      <c r="H22" s="73"/>
    </row>
    <row r="23" spans="2:8" ht="15.95" customHeight="1" x14ac:dyDescent="0.3">
      <c r="B23" s="361" t="str">
        <f>B16</f>
        <v>Jardineiro</v>
      </c>
      <c r="C23" s="183">
        <f ca="1">Jardineiro_CESJC!G140</f>
        <v>3876.41</v>
      </c>
      <c r="D23" s="80"/>
      <c r="E23" s="80"/>
      <c r="F23" s="58"/>
      <c r="G23" s="58"/>
      <c r="H23" s="73"/>
    </row>
    <row r="24" spans="2:8" ht="15.95" customHeight="1" thickBot="1" x14ac:dyDescent="0.35">
      <c r="B24" s="381" t="str">
        <f>Líder_CESJC!F16</f>
        <v>Agente de Higienização - Líder</v>
      </c>
      <c r="C24" s="382">
        <f ca="1">Líder_CESJC!G140</f>
        <v>5152.1499999999996</v>
      </c>
      <c r="D24" s="80"/>
      <c r="E24" s="80"/>
      <c r="F24" s="58"/>
      <c r="G24" s="58"/>
      <c r="H24" s="73"/>
    </row>
    <row r="25" spans="2:8" ht="15.95" customHeight="1" thickBot="1" x14ac:dyDescent="0.35">
      <c r="B25" s="180"/>
      <c r="C25" s="58"/>
      <c r="D25" s="57"/>
      <c r="E25" s="58"/>
      <c r="F25" s="58"/>
      <c r="G25" s="58"/>
      <c r="H25" s="71"/>
    </row>
    <row r="26" spans="2:8" ht="28.5" customHeight="1" thickBot="1" x14ac:dyDescent="0.35">
      <c r="B26" s="184" t="s">
        <v>165</v>
      </c>
      <c r="C26" s="185" t="s">
        <v>177</v>
      </c>
      <c r="D26" s="185" t="s">
        <v>172</v>
      </c>
      <c r="E26" s="185" t="s">
        <v>171</v>
      </c>
      <c r="F26" s="58"/>
      <c r="G26" s="58"/>
      <c r="H26" s="71"/>
    </row>
    <row r="27" spans="2:8" s="60" customFormat="1" ht="15.95" customHeight="1" x14ac:dyDescent="0.3">
      <c r="B27" s="186" t="s">
        <v>163</v>
      </c>
      <c r="C27" s="187"/>
      <c r="D27" s="187"/>
      <c r="E27" s="188"/>
      <c r="F27" s="58"/>
      <c r="G27" s="58"/>
      <c r="H27" s="71"/>
    </row>
    <row r="28" spans="2:8" s="60" customFormat="1" ht="15.95" customHeight="1" x14ac:dyDescent="0.3">
      <c r="B28" s="182" t="str">
        <f>B21</f>
        <v>Agente de Higienização - Diuturno</v>
      </c>
      <c r="C28" s="521">
        <f>ROUND(1/(26*D$8),9)</f>
        <v>4.8077000000000001E-5</v>
      </c>
      <c r="D28" s="61">
        <f ca="1">C21</f>
        <v>5162.6400000000003</v>
      </c>
      <c r="E28" s="77">
        <f ca="1">ROUND(D28*C28,2)</f>
        <v>0.25</v>
      </c>
      <c r="F28" s="58"/>
      <c r="G28" s="58"/>
      <c r="H28" s="71"/>
    </row>
    <row r="29" spans="2:8" s="60" customFormat="1" ht="15.95" customHeight="1" x14ac:dyDescent="0.3">
      <c r="B29" s="550" t="str">
        <f>B22</f>
        <v>Agente de Higienização</v>
      </c>
      <c r="C29" s="521">
        <f>ROUND(1/(26*D$8),9)</f>
        <v>4.8077000000000001E-5</v>
      </c>
      <c r="D29" s="61">
        <f ca="1">C22</f>
        <v>4893.67</v>
      </c>
      <c r="E29" s="77">
        <f ca="1">ROUND(D29*C29,2)</f>
        <v>0.24</v>
      </c>
      <c r="F29" s="58"/>
      <c r="G29" s="58"/>
      <c r="H29" s="71"/>
    </row>
    <row r="30" spans="2:8" s="60" customFormat="1" ht="15.95" customHeight="1" x14ac:dyDescent="0.3">
      <c r="B30" s="362" t="str">
        <f>B24</f>
        <v>Agente de Higienização - Líder</v>
      </c>
      <c r="C30" s="521">
        <f>ROUND(1/(26*D$8),9)</f>
        <v>4.8077000000000001E-5</v>
      </c>
      <c r="D30" s="364">
        <f ca="1">C24</f>
        <v>5152.1499999999996</v>
      </c>
      <c r="E30" s="77">
        <f ca="1">ROUND(D30*C30,2)</f>
        <v>0.25</v>
      </c>
      <c r="F30" s="58"/>
      <c r="G30" s="58"/>
      <c r="H30" s="71"/>
    </row>
    <row r="31" spans="2:8" s="60" customFormat="1" ht="15.95" customHeight="1" thickBot="1" x14ac:dyDescent="0.35">
      <c r="B31" s="370"/>
      <c r="C31" s="1095" t="s">
        <v>170</v>
      </c>
      <c r="D31" s="1096"/>
      <c r="E31" s="380">
        <f ca="1">SUM(E28:E30)</f>
        <v>0.74</v>
      </c>
      <c r="F31" s="58"/>
      <c r="G31" s="58"/>
      <c r="H31" s="71"/>
    </row>
    <row r="32" spans="2:8" s="60" customFormat="1" ht="30.75" customHeight="1" thickBot="1" x14ac:dyDescent="0.35">
      <c r="B32" s="184" t="s">
        <v>165</v>
      </c>
      <c r="C32" s="185" t="s">
        <v>177</v>
      </c>
      <c r="D32" s="185" t="s">
        <v>172</v>
      </c>
      <c r="E32" s="185" t="s">
        <v>171</v>
      </c>
      <c r="F32" s="58"/>
      <c r="G32" s="58"/>
      <c r="H32" s="71"/>
    </row>
    <row r="33" spans="2:8" s="60" customFormat="1" ht="15.95" customHeight="1" x14ac:dyDescent="0.3">
      <c r="B33" s="186" t="s">
        <v>161</v>
      </c>
      <c r="C33" s="187"/>
      <c r="D33" s="187"/>
      <c r="E33" s="188"/>
      <c r="F33" s="58"/>
      <c r="G33" s="58"/>
      <c r="H33" s="71"/>
    </row>
    <row r="34" spans="2:8" s="60" customFormat="1" ht="15.95" customHeight="1" x14ac:dyDescent="0.3">
      <c r="B34" s="182" t="str">
        <f>B21</f>
        <v>Agente de Higienização - Diuturno</v>
      </c>
      <c r="C34" s="528">
        <f>ROUND(1/(4*D$9),9)</f>
        <v>4.1666999999999999E-5</v>
      </c>
      <c r="D34" s="529">
        <f ca="1">C21</f>
        <v>5162.6400000000003</v>
      </c>
      <c r="E34" s="77">
        <f ca="1">ROUND(D34*C34,2)</f>
        <v>0.22</v>
      </c>
      <c r="F34" s="58"/>
      <c r="G34" s="58"/>
      <c r="H34" s="71"/>
    </row>
    <row r="35" spans="2:8" s="60" customFormat="1" ht="15.95" customHeight="1" x14ac:dyDescent="0.3">
      <c r="B35" s="367" t="str">
        <f>B22</f>
        <v>Agente de Higienização</v>
      </c>
      <c r="C35" s="528">
        <f t="shared" ref="C35:C36" si="1">ROUND(1/(4*D$9),9)</f>
        <v>4.1666999999999999E-5</v>
      </c>
      <c r="D35" s="530">
        <f ca="1">C22</f>
        <v>4893.67</v>
      </c>
      <c r="E35" s="77">
        <f ca="1">ROUND(D35*C35,2)</f>
        <v>0.2</v>
      </c>
      <c r="F35" s="58"/>
      <c r="G35" s="58"/>
      <c r="H35" s="71"/>
    </row>
    <row r="36" spans="2:8" s="60" customFormat="1" ht="15.95" customHeight="1" x14ac:dyDescent="0.3">
      <c r="B36" s="368" t="str">
        <f>B24</f>
        <v>Agente de Higienização - Líder</v>
      </c>
      <c r="C36" s="528">
        <f t="shared" si="1"/>
        <v>4.1666999999999999E-5</v>
      </c>
      <c r="D36" s="369">
        <f ca="1">C24</f>
        <v>5152.1499999999996</v>
      </c>
      <c r="E36" s="359">
        <f ca="1">ROUND(D36*C36,2)</f>
        <v>0.21</v>
      </c>
      <c r="F36" s="58"/>
      <c r="G36" s="58"/>
      <c r="H36" s="71"/>
    </row>
    <row r="37" spans="2:8" s="60" customFormat="1" ht="15.95" customHeight="1" thickBot="1" x14ac:dyDescent="0.35">
      <c r="B37" s="357"/>
      <c r="C37" s="1093" t="s">
        <v>169</v>
      </c>
      <c r="D37" s="1094"/>
      <c r="E37" s="358">
        <f ca="1">SUM(E34:E36)</f>
        <v>0.63</v>
      </c>
      <c r="F37" s="58"/>
      <c r="G37" s="58"/>
      <c r="H37" s="71"/>
    </row>
    <row r="38" spans="2:8" s="60" customFormat="1" ht="15.95" customHeight="1" x14ac:dyDescent="0.3">
      <c r="B38" s="143" t="s">
        <v>240</v>
      </c>
      <c r="C38" s="64"/>
      <c r="D38" s="64"/>
      <c r="E38" s="356"/>
      <c r="F38" s="58"/>
      <c r="G38" s="58"/>
      <c r="H38" s="71"/>
    </row>
    <row r="39" spans="2:8" s="60" customFormat="1" ht="15.95" customHeight="1" x14ac:dyDescent="0.3">
      <c r="B39" s="367" t="str">
        <f>B22</f>
        <v>Agente de Higienização</v>
      </c>
      <c r="C39" s="531">
        <f t="shared" ref="C39:C40" si="2">ROUND(1/(26*D$11),9)</f>
        <v>1.92308E-4</v>
      </c>
      <c r="D39" s="530">
        <f ca="1">C22</f>
        <v>4893.67</v>
      </c>
      <c r="E39" s="77">
        <f ca="1">ROUND(D39*C39,2)</f>
        <v>0.94</v>
      </c>
      <c r="F39" s="58"/>
      <c r="G39" s="58"/>
      <c r="H39" s="71"/>
    </row>
    <row r="40" spans="2:8" s="60" customFormat="1" ht="15.95" customHeight="1" x14ac:dyDescent="0.3">
      <c r="B40" s="362" t="str">
        <f>B24</f>
        <v>Agente de Higienização - Líder</v>
      </c>
      <c r="C40" s="533">
        <f t="shared" si="2"/>
        <v>1.92308E-4</v>
      </c>
      <c r="D40" s="532">
        <f ca="1">C24</f>
        <v>5152.1499999999996</v>
      </c>
      <c r="E40" s="62">
        <f ca="1">ROUND(D40*C40,2)</f>
        <v>0.99</v>
      </c>
      <c r="F40" s="58"/>
      <c r="G40" s="58"/>
      <c r="H40" s="71"/>
    </row>
    <row r="41" spans="2:8" s="63" customFormat="1" ht="15.95" customHeight="1" thickBot="1" x14ac:dyDescent="0.35">
      <c r="B41" s="370"/>
      <c r="C41" s="1095" t="s">
        <v>241</v>
      </c>
      <c r="D41" s="1096"/>
      <c r="E41" s="380">
        <f ca="1">SUM(E39:E40)</f>
        <v>1.93</v>
      </c>
      <c r="F41" s="58"/>
      <c r="G41" s="58"/>
      <c r="H41" s="71"/>
    </row>
    <row r="42" spans="2:8" s="63" customFormat="1" ht="15.95" customHeight="1" x14ac:dyDescent="0.3">
      <c r="B42" s="143" t="s">
        <v>404</v>
      </c>
      <c r="C42" s="64"/>
      <c r="D42" s="64"/>
      <c r="E42" s="188"/>
      <c r="F42" s="58"/>
      <c r="G42" s="58"/>
      <c r="H42" s="71"/>
    </row>
    <row r="43" spans="2:8" s="63" customFormat="1" ht="15.95" customHeight="1" x14ac:dyDescent="0.3">
      <c r="B43" s="345" t="str">
        <f>B21</f>
        <v>Agente de Higienização - Diuturno</v>
      </c>
      <c r="C43" s="191">
        <f>ROUND(1/(26*D12),9)</f>
        <v>1.92308E-4</v>
      </c>
      <c r="D43" s="192">
        <f ca="1">C21</f>
        <v>5162.6400000000003</v>
      </c>
      <c r="E43" s="62">
        <f ca="1">ROUND(D43*C43,2)</f>
        <v>0.99</v>
      </c>
      <c r="F43" s="58"/>
      <c r="G43" s="58"/>
      <c r="H43" s="71"/>
    </row>
    <row r="44" spans="2:8" s="63" customFormat="1" ht="15.95" customHeight="1" x14ac:dyDescent="0.3">
      <c r="B44" s="372" t="str">
        <f>B24</f>
        <v>Agente de Higienização - Líder</v>
      </c>
      <c r="C44" s="363">
        <f>ROUND(1/(26*D$12),9)</f>
        <v>1.92308E-4</v>
      </c>
      <c r="D44" s="364">
        <f ca="1">C24</f>
        <v>5152.1499999999996</v>
      </c>
      <c r="E44" s="62">
        <f ca="1">ROUND(D44*C44,2)</f>
        <v>0.99</v>
      </c>
      <c r="F44" s="58"/>
      <c r="G44" s="58"/>
      <c r="H44" s="71"/>
    </row>
    <row r="45" spans="2:8" s="63" customFormat="1" ht="15.95" customHeight="1" thickBot="1" x14ac:dyDescent="0.35">
      <c r="B45" s="370"/>
      <c r="C45" s="1095" t="s">
        <v>241</v>
      </c>
      <c r="D45" s="1096"/>
      <c r="E45" s="380">
        <f ca="1">SUM(E43:E44)</f>
        <v>1.98</v>
      </c>
      <c r="F45" s="58"/>
      <c r="G45" s="58"/>
      <c r="H45" s="71"/>
    </row>
    <row r="46" spans="2:8" s="60" customFormat="1" ht="15.95" customHeight="1" thickBot="1" x14ac:dyDescent="0.35">
      <c r="B46" s="194"/>
      <c r="C46" s="58"/>
      <c r="D46" s="57"/>
      <c r="E46" s="58"/>
      <c r="F46" s="57"/>
      <c r="G46" s="58"/>
      <c r="H46" s="71"/>
    </row>
    <row r="47" spans="2:8" s="60" customFormat="1" ht="15.95" customHeight="1" thickBot="1" x14ac:dyDescent="0.35">
      <c r="B47" s="952" t="s">
        <v>165</v>
      </c>
      <c r="C47" s="953" t="s">
        <v>177</v>
      </c>
      <c r="D47" s="953" t="s">
        <v>245</v>
      </c>
      <c r="E47" s="953" t="s">
        <v>246</v>
      </c>
      <c r="F47" s="953" t="s">
        <v>168</v>
      </c>
      <c r="G47" s="953" t="s">
        <v>167</v>
      </c>
      <c r="H47" s="981" t="s">
        <v>166</v>
      </c>
    </row>
    <row r="48" spans="2:8" s="60" customFormat="1" ht="36" customHeight="1" thickBot="1" x14ac:dyDescent="0.35">
      <c r="B48" s="952"/>
      <c r="C48" s="953"/>
      <c r="D48" s="953"/>
      <c r="E48" s="953"/>
      <c r="F48" s="953"/>
      <c r="G48" s="953"/>
      <c r="H48" s="981"/>
    </row>
    <row r="49" spans="1:247" s="60" customFormat="1" ht="15.95" customHeight="1" x14ac:dyDescent="0.3">
      <c r="B49" s="195" t="s">
        <v>311</v>
      </c>
      <c r="C49" s="196"/>
      <c r="D49" s="196"/>
      <c r="E49" s="196"/>
      <c r="F49" s="196"/>
      <c r="G49" s="196"/>
      <c r="H49" s="197"/>
    </row>
    <row r="50" spans="1:247" s="60" customFormat="1" ht="15.95" customHeight="1" x14ac:dyDescent="0.3">
      <c r="B50" s="74" t="str">
        <f>B21</f>
        <v>Agente de Higienização - Diuturno</v>
      </c>
      <c r="C50" s="191">
        <f>ROUND(1/D$10,9)</f>
        <v>3.333333E-3</v>
      </c>
      <c r="D50" s="198">
        <f>ROUNDUP(((C$10/D$10)*8),2)</f>
        <v>2</v>
      </c>
      <c r="E50" s="199">
        <f>ROUND(1/188.76,9)</f>
        <v>5.2977329999999998E-3</v>
      </c>
      <c r="F50" s="200">
        <f>ROUND(((C50)*(E50)*(D50)),9)</f>
        <v>3.5318000000000003E-5</v>
      </c>
      <c r="G50" s="201">
        <f ca="1">C21</f>
        <v>5162.6400000000003</v>
      </c>
      <c r="H50" s="202">
        <f ca="1">ROUND(G50*F50,2)</f>
        <v>0.18</v>
      </c>
    </row>
    <row r="51" spans="1:247" s="60" customFormat="1" ht="15.95" customHeight="1" x14ac:dyDescent="0.3">
      <c r="B51" s="74" t="str">
        <f>B22</f>
        <v>Agente de Higienização</v>
      </c>
      <c r="C51" s="191">
        <f>ROUND(1/D$10,9)</f>
        <v>3.333333E-3</v>
      </c>
      <c r="D51" s="198">
        <f t="shared" ref="D51:D52" si="3">ROUNDUP(((C$10/D$10)*8),2)</f>
        <v>2</v>
      </c>
      <c r="E51" s="199">
        <f>ROUND(1/188.76,9)</f>
        <v>5.2977329999999998E-3</v>
      </c>
      <c r="F51" s="200">
        <f>ROUND(((C51)*(E51)*(D51)),9)</f>
        <v>3.5318000000000003E-5</v>
      </c>
      <c r="G51" s="201">
        <f ca="1">C22</f>
        <v>4893.67</v>
      </c>
      <c r="H51" s="202">
        <f ca="1">ROUND(G51*F51,2)</f>
        <v>0.17</v>
      </c>
    </row>
    <row r="52" spans="1:247" s="60" customFormat="1" ht="15.95" customHeight="1" x14ac:dyDescent="0.3">
      <c r="B52" s="362" t="str">
        <f>B24</f>
        <v>Agente de Higienização - Líder</v>
      </c>
      <c r="C52" s="363">
        <f>ROUND(1/D10,9)</f>
        <v>3.333333E-3</v>
      </c>
      <c r="D52" s="198">
        <f t="shared" si="3"/>
        <v>2</v>
      </c>
      <c r="E52" s="377">
        <f>ROUND(1/188.76,9)</f>
        <v>5.2977329999999998E-3</v>
      </c>
      <c r="F52" s="378">
        <f>ROUND(((C52)*(E52)*(D52)),9)</f>
        <v>3.5318000000000003E-5</v>
      </c>
      <c r="G52" s="364">
        <f ca="1">C24</f>
        <v>5152.1499999999996</v>
      </c>
      <c r="H52" s="202">
        <f ca="1">ROUND(G52*F52,2)</f>
        <v>0.18</v>
      </c>
    </row>
    <row r="53" spans="1:247" s="60" customFormat="1" ht="15.95" customHeight="1" thickBot="1" x14ac:dyDescent="0.35">
      <c r="B53" s="373"/>
      <c r="C53" s="374"/>
      <c r="D53" s="374"/>
      <c r="E53" s="374"/>
      <c r="F53" s="374"/>
      <c r="G53" s="375" t="s">
        <v>312</v>
      </c>
      <c r="H53" s="376">
        <f ca="1">ROUND(SUM(H50:H52),2)</f>
        <v>0.53</v>
      </c>
    </row>
    <row r="54" spans="1:247" s="66" customFormat="1" ht="15.95" customHeight="1" thickBot="1" x14ac:dyDescent="0.35">
      <c r="A54" s="141"/>
      <c r="B54" s="207"/>
      <c r="C54" s="139"/>
      <c r="D54" s="139"/>
      <c r="E54" s="139"/>
      <c r="F54" s="139"/>
      <c r="G54" s="140"/>
      <c r="H54" s="142"/>
    </row>
    <row r="55" spans="1:247" s="60" customFormat="1" ht="39" thickBot="1" x14ac:dyDescent="0.35">
      <c r="B55" s="184" t="s">
        <v>165</v>
      </c>
      <c r="C55" s="185" t="s">
        <v>177</v>
      </c>
      <c r="D55" s="185" t="s">
        <v>172</v>
      </c>
      <c r="E55" s="185" t="s">
        <v>171</v>
      </c>
      <c r="F55" s="58"/>
      <c r="G55" s="58"/>
      <c r="H55" s="71"/>
    </row>
    <row r="56" spans="1:247" s="60" customFormat="1" ht="15.95" customHeight="1" x14ac:dyDescent="0.3">
      <c r="B56" s="186" t="s">
        <v>242</v>
      </c>
      <c r="C56" s="187"/>
      <c r="D56" s="187"/>
      <c r="E56" s="188"/>
      <c r="F56" s="58"/>
      <c r="G56" s="58"/>
      <c r="H56" s="71"/>
    </row>
    <row r="57" spans="1:247" s="63" customFormat="1" ht="15.95" customHeight="1" x14ac:dyDescent="0.3">
      <c r="B57" s="182" t="str">
        <f>B23</f>
        <v>Jardineiro</v>
      </c>
      <c r="C57" s="191">
        <f>ROUND(1/(D$13),9)</f>
        <v>6.6667000000000004E-5</v>
      </c>
      <c r="D57" s="61">
        <f ca="1">C23</f>
        <v>3876.41</v>
      </c>
      <c r="E57" s="77">
        <f ca="1">ROUND(D57*C57,2)</f>
        <v>0.26</v>
      </c>
      <c r="F57" s="58"/>
      <c r="G57" s="58"/>
      <c r="H57" s="71"/>
    </row>
    <row r="58" spans="1:247" s="63" customFormat="1" ht="15.95" customHeight="1" x14ac:dyDescent="0.3">
      <c r="B58" s="367" t="str">
        <f>B22</f>
        <v>Agente de Higienização</v>
      </c>
      <c r="C58" s="191">
        <f>ROUND(1/(26*D$13),9)</f>
        <v>2.5639999999999999E-6</v>
      </c>
      <c r="D58" s="61">
        <f ca="1">C22</f>
        <v>4893.67</v>
      </c>
      <c r="E58" s="77">
        <f ca="1">ROUND(D58*C58,2)</f>
        <v>0.01</v>
      </c>
      <c r="F58" s="58"/>
      <c r="G58" s="58"/>
      <c r="H58" s="71"/>
    </row>
    <row r="59" spans="1:247" s="63" customFormat="1" ht="15.95" customHeight="1" x14ac:dyDescent="0.3">
      <c r="B59" s="362" t="str">
        <f>B24</f>
        <v>Agente de Higienização - Líder</v>
      </c>
      <c r="C59" s="191">
        <f>ROUND(1/(26*D$13),9)</f>
        <v>2.5639999999999999E-6</v>
      </c>
      <c r="D59" s="61">
        <f ca="1">C24</f>
        <v>5152.1499999999996</v>
      </c>
      <c r="E59" s="77">
        <f ca="1">ROUND(D59*C59,2)</f>
        <v>0.01</v>
      </c>
      <c r="F59" s="58"/>
      <c r="G59" s="58"/>
      <c r="H59" s="71"/>
    </row>
    <row r="60" spans="1:247" s="60" customFormat="1" ht="15.95" customHeight="1" thickBot="1" x14ac:dyDescent="0.35">
      <c r="A60" s="65"/>
      <c r="B60" s="189"/>
      <c r="C60" s="960" t="s">
        <v>247</v>
      </c>
      <c r="D60" s="961"/>
      <c r="E60" s="190">
        <f ca="1">SUM(E57:E59)</f>
        <v>0.28000000000000003</v>
      </c>
      <c r="F60" s="139"/>
      <c r="G60" s="140"/>
      <c r="H60" s="138"/>
    </row>
    <row r="61" spans="1:247" s="60" customFormat="1" ht="15.95" customHeight="1" thickBot="1" x14ac:dyDescent="0.35">
      <c r="A61" s="65"/>
      <c r="B61" s="180"/>
      <c r="C61" s="58"/>
      <c r="D61" s="58"/>
      <c r="E61" s="58"/>
      <c r="F61" s="58"/>
      <c r="G61" s="58"/>
      <c r="H61" s="71"/>
    </row>
    <row r="62" spans="1:247" s="60" customFormat="1" ht="15.95" customHeight="1" thickBot="1" x14ac:dyDescent="0.35">
      <c r="B62" s="982" t="s">
        <v>165</v>
      </c>
      <c r="C62" s="979" t="s">
        <v>164</v>
      </c>
      <c r="D62" s="984" t="s">
        <v>249</v>
      </c>
      <c r="E62" s="979" t="s">
        <v>250</v>
      </c>
      <c r="F62" s="979" t="s">
        <v>445</v>
      </c>
      <c r="G62" s="986" t="s">
        <v>436</v>
      </c>
      <c r="H62" s="71"/>
    </row>
    <row r="63" spans="1:247" s="60" customFormat="1" ht="29.45" customHeight="1" thickBot="1" x14ac:dyDescent="0.35">
      <c r="B63" s="983"/>
      <c r="C63" s="980"/>
      <c r="D63" s="985"/>
      <c r="E63" s="980"/>
      <c r="F63" s="980"/>
      <c r="G63" s="987"/>
      <c r="H63" s="71"/>
      <c r="IF63" s="66"/>
      <c r="IG63" s="66"/>
      <c r="IH63" s="66"/>
      <c r="II63" s="66"/>
      <c r="IJ63" s="66"/>
      <c r="IK63" s="66"/>
      <c r="IL63" s="66"/>
      <c r="IM63" s="66"/>
    </row>
    <row r="64" spans="1:247" s="60" customFormat="1" ht="15.95" customHeight="1" x14ac:dyDescent="0.3">
      <c r="B64" s="143" t="s">
        <v>163</v>
      </c>
      <c r="C64" s="67">
        <f ca="1">E31</f>
        <v>0.74</v>
      </c>
      <c r="D64" s="68">
        <f t="shared" ref="D64:D69" si="4">C8</f>
        <v>613.65</v>
      </c>
      <c r="E64" s="208">
        <f t="shared" ref="E64:E69" ca="1" si="5">ROUND(D64*C64,2)</f>
        <v>454.1</v>
      </c>
      <c r="F64" s="68">
        <f>D64*12</f>
        <v>7363.8</v>
      </c>
      <c r="G64" s="210">
        <f ca="1">E64*12</f>
        <v>5449.2</v>
      </c>
      <c r="H64" s="72"/>
      <c r="IE64" s="66"/>
      <c r="IF64" s="66"/>
      <c r="IG64" s="66"/>
      <c r="IH64" s="66"/>
      <c r="II64" s="66"/>
      <c r="IJ64" s="66"/>
      <c r="IK64" s="66"/>
      <c r="IL64" s="66"/>
    </row>
    <row r="65" spans="1:246" s="60" customFormat="1" ht="15.95" customHeight="1" x14ac:dyDescent="0.3">
      <c r="B65" s="167" t="s">
        <v>161</v>
      </c>
      <c r="C65" s="67">
        <f ca="1">E37</f>
        <v>0.63</v>
      </c>
      <c r="D65" s="68">
        <f t="shared" si="4"/>
        <v>50562.16</v>
      </c>
      <c r="E65" s="208">
        <f t="shared" ca="1" si="5"/>
        <v>31854.16</v>
      </c>
      <c r="F65" s="68">
        <f t="shared" ref="F65:G69" si="6">D65*12</f>
        <v>606745.92000000004</v>
      </c>
      <c r="G65" s="210">
        <f t="shared" ca="1" si="6"/>
        <v>382249.92</v>
      </c>
      <c r="H65" s="72"/>
      <c r="IE65" s="66"/>
      <c r="IF65" s="66"/>
      <c r="IG65" s="66"/>
      <c r="IH65" s="66"/>
      <c r="II65" s="66"/>
      <c r="IJ65" s="66"/>
      <c r="IK65" s="66"/>
      <c r="IL65" s="66"/>
    </row>
    <row r="66" spans="1:246" s="60" customFormat="1" ht="15.95" customHeight="1" x14ac:dyDescent="0.3">
      <c r="B66" s="167" t="s">
        <v>405</v>
      </c>
      <c r="C66" s="67">
        <f ca="1">H53</f>
        <v>0.53</v>
      </c>
      <c r="D66" s="68">
        <f t="shared" si="4"/>
        <v>82.84</v>
      </c>
      <c r="E66" s="208">
        <f t="shared" ca="1" si="5"/>
        <v>43.91</v>
      </c>
      <c r="F66" s="68">
        <f t="shared" si="6"/>
        <v>994.08</v>
      </c>
      <c r="G66" s="210">
        <f t="shared" ca="1" si="6"/>
        <v>526.91999999999996</v>
      </c>
      <c r="H66" s="72"/>
    </row>
    <row r="67" spans="1:246" s="60" customFormat="1" ht="15.95" customHeight="1" x14ac:dyDescent="0.3">
      <c r="B67" s="167" t="s">
        <v>240</v>
      </c>
      <c r="C67" s="67">
        <f ca="1">E41</f>
        <v>1.93</v>
      </c>
      <c r="D67" s="68">
        <f t="shared" si="4"/>
        <v>51.67</v>
      </c>
      <c r="E67" s="208">
        <f t="shared" ca="1" si="5"/>
        <v>99.72</v>
      </c>
      <c r="F67" s="68">
        <f t="shared" si="6"/>
        <v>620.04</v>
      </c>
      <c r="G67" s="210">
        <f t="shared" ca="1" si="6"/>
        <v>1196.6400000000001</v>
      </c>
      <c r="H67" s="72"/>
    </row>
    <row r="68" spans="1:246" s="60" customFormat="1" ht="15.95" customHeight="1" x14ac:dyDescent="0.3">
      <c r="B68" s="167" t="s">
        <v>404</v>
      </c>
      <c r="C68" s="67">
        <f ca="1">E45</f>
        <v>1.98</v>
      </c>
      <c r="D68" s="68">
        <f t="shared" si="4"/>
        <v>88.82</v>
      </c>
      <c r="E68" s="208">
        <f t="shared" ca="1" si="5"/>
        <v>175.86</v>
      </c>
      <c r="F68" s="68">
        <f t="shared" si="6"/>
        <v>1065.8399999999999</v>
      </c>
      <c r="G68" s="210">
        <f t="shared" ca="1" si="6"/>
        <v>2110.3200000000002</v>
      </c>
      <c r="H68" s="72"/>
    </row>
    <row r="69" spans="1:246" s="60" customFormat="1" ht="15.95" customHeight="1" x14ac:dyDescent="0.3">
      <c r="B69" s="167" t="s">
        <v>243</v>
      </c>
      <c r="C69" s="67">
        <f ca="1">E60</f>
        <v>0.28000000000000003</v>
      </c>
      <c r="D69" s="68">
        <f t="shared" si="4"/>
        <v>16000</v>
      </c>
      <c r="E69" s="208">
        <f t="shared" ca="1" si="5"/>
        <v>4480</v>
      </c>
      <c r="F69" s="68">
        <f t="shared" si="6"/>
        <v>192000</v>
      </c>
      <c r="G69" s="210">
        <f t="shared" ca="1" si="6"/>
        <v>53760</v>
      </c>
      <c r="H69" s="72"/>
      <c r="I69" s="159"/>
    </row>
    <row r="70" spans="1:246" s="60" customFormat="1" ht="15.95" customHeight="1" x14ac:dyDescent="0.3">
      <c r="A70" s="69" t="s">
        <v>162</v>
      </c>
      <c r="B70" s="1101" t="s">
        <v>408</v>
      </c>
      <c r="C70" s="1102"/>
      <c r="D70" s="1102"/>
      <c r="E70" s="1102"/>
      <c r="F70" s="1102"/>
      <c r="G70" s="434">
        <f ca="1">SUM(E64:E69)</f>
        <v>37107.75</v>
      </c>
      <c r="H70" s="71"/>
    </row>
    <row r="71" spans="1:246" s="60" customFormat="1" ht="15.95" customHeight="1" thickBot="1" x14ac:dyDescent="0.35">
      <c r="A71" s="63"/>
      <c r="B71" s="924" t="s">
        <v>447</v>
      </c>
      <c r="C71" s="925"/>
      <c r="D71" s="925"/>
      <c r="E71" s="925"/>
      <c r="F71" s="925"/>
      <c r="G71" s="439">
        <f ca="1">G70*12</f>
        <v>445293</v>
      </c>
      <c r="H71" s="71"/>
      <c r="I71" s="160"/>
      <c r="J71" s="161"/>
    </row>
    <row r="72" spans="1:246" s="60" customFormat="1" ht="15.95" customHeight="1" x14ac:dyDescent="0.3">
      <c r="A72" s="63"/>
      <c r="B72" s="933" t="s">
        <v>427</v>
      </c>
      <c r="C72" s="934"/>
      <c r="D72" s="934"/>
      <c r="E72" s="934"/>
      <c r="F72" s="934"/>
      <c r="G72" s="417">
        <f>'Insumos Diversos'!H136</f>
        <v>0</v>
      </c>
      <c r="H72" s="71"/>
      <c r="I72" s="160"/>
      <c r="J72" s="161"/>
    </row>
    <row r="73" spans="1:246" s="60" customFormat="1" ht="15.95" customHeight="1" thickBot="1" x14ac:dyDescent="0.35">
      <c r="A73" s="63"/>
      <c r="B73" s="929" t="s">
        <v>434</v>
      </c>
      <c r="C73" s="930"/>
      <c r="D73" s="930"/>
      <c r="E73" s="930"/>
      <c r="F73" s="930"/>
      <c r="G73" s="418">
        <f>G72*12</f>
        <v>0</v>
      </c>
      <c r="H73" s="71"/>
      <c r="I73" s="160"/>
      <c r="J73" s="161"/>
    </row>
    <row r="74" spans="1:246" s="60" customFormat="1" ht="15.95" customHeight="1" x14ac:dyDescent="0.3">
      <c r="A74" s="63"/>
      <c r="B74" s="1107" t="s">
        <v>503</v>
      </c>
      <c r="C74" s="1108"/>
      <c r="D74" s="1108"/>
      <c r="E74" s="1108"/>
      <c r="F74" s="1108"/>
      <c r="G74" s="430">
        <f ca="1">SUM(G70,G72)</f>
        <v>37107.75</v>
      </c>
      <c r="H74" s="71"/>
      <c r="I74" s="160"/>
      <c r="J74" s="161"/>
    </row>
    <row r="75" spans="1:246" s="60" customFormat="1" ht="15.95" customHeight="1" thickBot="1" x14ac:dyDescent="0.35">
      <c r="A75" s="63"/>
      <c r="B75" s="927" t="s">
        <v>504</v>
      </c>
      <c r="C75" s="928"/>
      <c r="D75" s="928"/>
      <c r="E75" s="928"/>
      <c r="F75" s="928"/>
      <c r="G75" s="431">
        <f ca="1">G74*12</f>
        <v>445293</v>
      </c>
      <c r="H75" s="71"/>
      <c r="I75" s="160">
        <f ca="1">SUM(G71+G73)</f>
        <v>445293</v>
      </c>
      <c r="J75" s="161"/>
    </row>
    <row r="76" spans="1:246" s="60" customFormat="1" ht="15.95" customHeight="1" x14ac:dyDescent="0.3">
      <c r="B76" s="209" t="s">
        <v>160</v>
      </c>
      <c r="C76" s="58"/>
      <c r="D76" s="58"/>
      <c r="E76" s="58"/>
      <c r="F76" s="58"/>
      <c r="G76" s="58"/>
      <c r="H76" s="71"/>
    </row>
    <row r="77" spans="1:246" s="60" customFormat="1" ht="15.95" customHeight="1" x14ac:dyDescent="0.3">
      <c r="B77" s="938" t="s">
        <v>253</v>
      </c>
      <c r="C77" s="939"/>
      <c r="D77" s="939"/>
      <c r="E77" s="939"/>
      <c r="F77" s="939"/>
      <c r="G77" s="939"/>
      <c r="H77" s="940"/>
    </row>
    <row r="78" spans="1:246" s="60" customFormat="1" ht="22.5" customHeight="1" x14ac:dyDescent="0.3">
      <c r="B78" s="941" t="s">
        <v>407</v>
      </c>
      <c r="C78" s="942"/>
      <c r="D78" s="942"/>
      <c r="E78" s="942"/>
      <c r="F78" s="942"/>
      <c r="G78" s="942"/>
      <c r="H78" s="943"/>
    </row>
    <row r="79" spans="1:246" s="60" customFormat="1" ht="30.75" customHeight="1" x14ac:dyDescent="0.3">
      <c r="B79" s="944" t="s">
        <v>317</v>
      </c>
      <c r="C79" s="945"/>
      <c r="D79" s="945"/>
      <c r="E79" s="945"/>
      <c r="F79" s="945"/>
      <c r="G79" s="945"/>
      <c r="H79" s="946"/>
    </row>
    <row r="80" spans="1:246" s="60" customFormat="1" ht="15.95" customHeight="1" x14ac:dyDescent="0.3">
      <c r="B80" s="947" t="s">
        <v>192</v>
      </c>
      <c r="C80" s="948"/>
      <c r="D80" s="948"/>
      <c r="E80" s="948"/>
      <c r="F80" s="948"/>
      <c r="G80" s="948"/>
      <c r="H80" s="949"/>
    </row>
    <row r="81" spans="1:8" s="60" customFormat="1" ht="35.25" customHeight="1" thickBot="1" x14ac:dyDescent="0.35">
      <c r="B81" s="935" t="s">
        <v>213</v>
      </c>
      <c r="C81" s="936"/>
      <c r="D81" s="936"/>
      <c r="E81" s="936"/>
      <c r="F81" s="936"/>
      <c r="G81" s="936"/>
      <c r="H81" s="937"/>
    </row>
    <row r="82" spans="1:8" s="60" customFormat="1" ht="15.95" customHeight="1" x14ac:dyDescent="0.3">
      <c r="A82" s="70"/>
      <c r="B82" s="351"/>
      <c r="C82" s="351"/>
      <c r="D82" s="351"/>
      <c r="E82" s="351"/>
      <c r="F82" s="351"/>
      <c r="G82" s="351"/>
      <c r="H82" s="352"/>
    </row>
    <row r="83" spans="1:8" s="60" customFormat="1" ht="15.95" customHeight="1" x14ac:dyDescent="0.3">
      <c r="A83" s="70"/>
    </row>
    <row r="84" spans="1:8" s="60" customFormat="1" ht="15.95" customHeight="1" x14ac:dyDescent="0.3">
      <c r="A84" s="70"/>
    </row>
    <row r="85" spans="1:8" s="60" customFormat="1" ht="15.95" customHeight="1" x14ac:dyDescent="0.3">
      <c r="A85" s="70"/>
    </row>
    <row r="86" spans="1:8" s="60" customFormat="1" ht="15.95" customHeight="1" x14ac:dyDescent="0.3">
      <c r="A86" s="70"/>
    </row>
    <row r="87" spans="1:8" s="60" customFormat="1" ht="15.95" customHeight="1" x14ac:dyDescent="0.3">
      <c r="A87" s="70"/>
    </row>
    <row r="88" spans="1:8" s="60" customFormat="1" ht="15.95" customHeight="1" x14ac:dyDescent="0.3">
      <c r="A88" s="70"/>
    </row>
    <row r="89" spans="1:8" s="60" customFormat="1" ht="15.95" customHeight="1" x14ac:dyDescent="0.3">
      <c r="A89" s="70"/>
    </row>
    <row r="90" spans="1:8" s="60" customFormat="1" ht="15.95" customHeight="1" x14ac:dyDescent="0.3">
      <c r="A90" s="70"/>
      <c r="B90" s="56"/>
      <c r="C90" s="56"/>
      <c r="D90" s="56"/>
      <c r="E90" s="56"/>
      <c r="F90" s="56"/>
    </row>
    <row r="91" spans="1:8" s="60" customFormat="1" ht="15.95" customHeight="1" x14ac:dyDescent="0.3">
      <c r="B91" s="56"/>
      <c r="C91" s="56"/>
      <c r="D91" s="56"/>
      <c r="E91" s="56"/>
      <c r="F91" s="56"/>
      <c r="G91" s="56"/>
    </row>
    <row r="92" spans="1:8" s="60" customFormat="1" ht="15.95" customHeight="1" x14ac:dyDescent="0.3">
      <c r="B92" s="56"/>
      <c r="C92" s="56"/>
      <c r="D92" s="56"/>
      <c r="E92" s="56"/>
      <c r="F92" s="56"/>
      <c r="G92" s="56"/>
      <c r="H92" s="56"/>
    </row>
    <row r="93" spans="1:8" s="60" customFormat="1" ht="15.95" customHeight="1" x14ac:dyDescent="0.3">
      <c r="A93" s="70"/>
      <c r="B93" s="56"/>
      <c r="C93" s="56"/>
      <c r="D93" s="56"/>
      <c r="E93" s="56"/>
      <c r="F93" s="56"/>
      <c r="G93" s="56"/>
      <c r="H93" s="56"/>
    </row>
    <row r="94" spans="1:8" s="60" customFormat="1" ht="15.95" customHeight="1" x14ac:dyDescent="0.3">
      <c r="A94" s="70"/>
      <c r="B94" s="56"/>
      <c r="C94" s="56"/>
      <c r="D94" s="56"/>
      <c r="E94" s="56"/>
      <c r="F94" s="56"/>
      <c r="G94" s="56"/>
      <c r="H94" s="56"/>
    </row>
    <row r="95" spans="1:8" s="60" customFormat="1" ht="15.95" customHeight="1" x14ac:dyDescent="0.3">
      <c r="B95" s="56"/>
      <c r="C95" s="56"/>
      <c r="D95" s="56"/>
      <c r="E95" s="56"/>
      <c r="F95" s="56"/>
      <c r="G95" s="56"/>
      <c r="H95" s="56"/>
    </row>
    <row r="99" ht="13.35" customHeight="1" x14ac:dyDescent="0.3"/>
    <row r="119" ht="12.95" customHeight="1" x14ac:dyDescent="0.3"/>
    <row r="120" ht="10.5" customHeight="1" x14ac:dyDescent="0.3"/>
    <row r="131" ht="12" customHeight="1" x14ac:dyDescent="0.3"/>
    <row r="132" ht="12" customHeight="1" x14ac:dyDescent="0.3"/>
    <row r="143" ht="13.5" customHeight="1" x14ac:dyDescent="0.3"/>
    <row r="190" ht="10.5" customHeight="1" x14ac:dyDescent="0.3"/>
    <row r="191" ht="10.5" customHeight="1" x14ac:dyDescent="0.3"/>
  </sheetData>
  <mergeCells count="42">
    <mergeCell ref="B1:H1"/>
    <mergeCell ref="B2:H2"/>
    <mergeCell ref="B3:H3"/>
    <mergeCell ref="J3:K3"/>
    <mergeCell ref="B4:H5"/>
    <mergeCell ref="C6:H6"/>
    <mergeCell ref="C45:D45"/>
    <mergeCell ref="G8:G12"/>
    <mergeCell ref="B14:E14"/>
    <mergeCell ref="B16:E16"/>
    <mergeCell ref="B17:E17"/>
    <mergeCell ref="B18:E18"/>
    <mergeCell ref="C31:D31"/>
    <mergeCell ref="C37:D37"/>
    <mergeCell ref="C41:D41"/>
    <mergeCell ref="B15:E15"/>
    <mergeCell ref="F8:F13"/>
    <mergeCell ref="H47:H48"/>
    <mergeCell ref="C60:D60"/>
    <mergeCell ref="B62:B63"/>
    <mergeCell ref="C62:C63"/>
    <mergeCell ref="D62:D63"/>
    <mergeCell ref="E62:E63"/>
    <mergeCell ref="F62:F63"/>
    <mergeCell ref="G62:G63"/>
    <mergeCell ref="B47:B48"/>
    <mergeCell ref="C47:C48"/>
    <mergeCell ref="D47:D48"/>
    <mergeCell ref="E47:E48"/>
    <mergeCell ref="F47:F48"/>
    <mergeCell ref="G47:G48"/>
    <mergeCell ref="B79:H79"/>
    <mergeCell ref="B80:H80"/>
    <mergeCell ref="B81:H81"/>
    <mergeCell ref="B75:F75"/>
    <mergeCell ref="B77:H77"/>
    <mergeCell ref="B74:F74"/>
    <mergeCell ref="B70:F70"/>
    <mergeCell ref="B72:F72"/>
    <mergeCell ref="B73:F73"/>
    <mergeCell ref="B78:H78"/>
    <mergeCell ref="B71:F71"/>
  </mergeCells>
  <dataValidations count="1">
    <dataValidation type="custom" allowBlank="1" showErrorMessage="1" errorTitle="Erro" error="Não é permitido escrever nesta célula" sqref="IP105 SL105 ACH105 AMD105 AVZ105 BFV105 BPR105 BZN105 CJJ105 CTF105 DDB105 DMX105 DWT105 EGP105 EQL105 FAH105 FKD105 FTZ105 GDV105 GNR105 GXN105 HHJ105 HRF105 IBB105 IKX105 IUT105 JEP105 JOL105 JYH105 KID105 KRZ105 LBV105 LLR105 LVN105 MFJ105 MPF105 MZB105 NIX105 NST105 OCP105 OML105 OWH105 PGD105 PPZ105 PZV105 QJR105 QTN105 RDJ105 RNF105 RXB105 SGX105 SQT105 TAP105 TKL105 TUH105 UED105 UNZ105 UXV105 VHR105 VRN105 WBJ105 WLF105 WVB105 IP65641 SL65641 ACH65641 AMD65641 AVZ65641 BFV65641 BPR65641 BZN65641 CJJ65641 CTF65641 DDB65641 DMX65641 DWT65641 EGP65641 EQL65641 FAH65641 FKD65641 FTZ65641 GDV65641 GNR65641 GXN65641 HHJ65641 HRF65641 IBB65641 IKX65641 IUT65641 JEP65641 JOL65641 JYH65641 KID65641 KRZ65641 LBV65641 LLR65641 LVN65641 MFJ65641 MPF65641 MZB65641 NIX65641 NST65641 OCP65641 OML65641 OWH65641 PGD65641 PPZ65641 PZV65641 QJR65641 QTN65641 RDJ65641 RNF65641 RXB65641 SGX65641 SQT65641 TAP65641 TKL65641 TUH65641 UED65641 UNZ65641 UXV65641 VHR65641 VRN65641 WBJ65641 WLF65641 WVB65641 IP131177 SL131177 ACH131177 AMD131177 AVZ131177 BFV131177 BPR131177 BZN131177 CJJ131177 CTF131177 DDB131177 DMX131177 DWT131177 EGP131177 EQL131177 FAH131177 FKD131177 FTZ131177 GDV131177 GNR131177 GXN131177 HHJ131177 HRF131177 IBB131177 IKX131177 IUT131177 JEP131177 JOL131177 JYH131177 KID131177 KRZ131177 LBV131177 LLR131177 LVN131177 MFJ131177 MPF131177 MZB131177 NIX131177 NST131177 OCP131177 OML131177 OWH131177 PGD131177 PPZ131177 PZV131177 QJR131177 QTN131177 RDJ131177 RNF131177 RXB131177 SGX131177 SQT131177 TAP131177 TKL131177 TUH131177 UED131177 UNZ131177 UXV131177 VHR131177 VRN131177 WBJ131177 WLF131177 WVB131177 IP196713 SL196713 ACH196713 AMD196713 AVZ196713 BFV196713 BPR196713 BZN196713 CJJ196713 CTF196713 DDB196713 DMX196713 DWT196713 EGP196713 EQL196713 FAH196713 FKD196713 FTZ196713 GDV196713 GNR196713 GXN196713 HHJ196713 HRF196713 IBB196713 IKX196713 IUT196713 JEP196713 JOL196713 JYH196713 KID196713 KRZ196713 LBV196713 LLR196713 LVN196713 MFJ196713 MPF196713 MZB196713 NIX196713 NST196713 OCP196713 OML196713 OWH196713 PGD196713 PPZ196713 PZV196713 QJR196713 QTN196713 RDJ196713 RNF196713 RXB196713 SGX196713 SQT196713 TAP196713 TKL196713 TUH196713 UED196713 UNZ196713 UXV196713 VHR196713 VRN196713 WBJ196713 WLF196713 WVB196713 IP262249 SL262249 ACH262249 AMD262249 AVZ262249 BFV262249 BPR262249 BZN262249 CJJ262249 CTF262249 DDB262249 DMX262249 DWT262249 EGP262249 EQL262249 FAH262249 FKD262249 FTZ262249 GDV262249 GNR262249 GXN262249 HHJ262249 HRF262249 IBB262249 IKX262249 IUT262249 JEP262249 JOL262249 JYH262249 KID262249 KRZ262249 LBV262249 LLR262249 LVN262249 MFJ262249 MPF262249 MZB262249 NIX262249 NST262249 OCP262249 OML262249 OWH262249 PGD262249 PPZ262249 PZV262249 QJR262249 QTN262249 RDJ262249 RNF262249 RXB262249 SGX262249 SQT262249 TAP262249 TKL262249 TUH262249 UED262249 UNZ262249 UXV262249 VHR262249 VRN262249 WBJ262249 WLF262249 WVB262249 IP327785 SL327785 ACH327785 AMD327785 AVZ327785 BFV327785 BPR327785 BZN327785 CJJ327785 CTF327785 DDB327785 DMX327785 DWT327785 EGP327785 EQL327785 FAH327785 FKD327785 FTZ327785 GDV327785 GNR327785 GXN327785 HHJ327785 HRF327785 IBB327785 IKX327785 IUT327785 JEP327785 JOL327785 JYH327785 KID327785 KRZ327785 LBV327785 LLR327785 LVN327785 MFJ327785 MPF327785 MZB327785 NIX327785 NST327785 OCP327785 OML327785 OWH327785 PGD327785 PPZ327785 PZV327785 QJR327785 QTN327785 RDJ327785 RNF327785 RXB327785 SGX327785 SQT327785 TAP327785 TKL327785 TUH327785 UED327785 UNZ327785 UXV327785 VHR327785 VRN327785 WBJ327785 WLF327785 WVB327785 IP393321 SL393321 ACH393321 AMD393321 AVZ393321 BFV393321 BPR393321 BZN393321 CJJ393321 CTF393321 DDB393321 DMX393321 DWT393321 EGP393321 EQL393321 FAH393321 FKD393321 FTZ393321 GDV393321 GNR393321 GXN393321 HHJ393321 HRF393321 IBB393321 IKX393321 IUT393321 JEP393321 JOL393321 JYH393321 KID393321 KRZ393321 LBV393321 LLR393321 LVN393321 MFJ393321 MPF393321 MZB393321 NIX393321 NST393321 OCP393321 OML393321 OWH393321 PGD393321 PPZ393321 PZV393321 QJR393321 QTN393321 RDJ393321 RNF393321 RXB393321 SGX393321 SQT393321 TAP393321 TKL393321 TUH393321 UED393321 UNZ393321 UXV393321 VHR393321 VRN393321 WBJ393321 WLF393321 WVB393321 IP458857 SL458857 ACH458857 AMD458857 AVZ458857 BFV458857 BPR458857 BZN458857 CJJ458857 CTF458857 DDB458857 DMX458857 DWT458857 EGP458857 EQL458857 FAH458857 FKD458857 FTZ458857 GDV458857 GNR458857 GXN458857 HHJ458857 HRF458857 IBB458857 IKX458857 IUT458857 JEP458857 JOL458857 JYH458857 KID458857 KRZ458857 LBV458857 LLR458857 LVN458857 MFJ458857 MPF458857 MZB458857 NIX458857 NST458857 OCP458857 OML458857 OWH458857 PGD458857 PPZ458857 PZV458857 QJR458857 QTN458857 RDJ458857 RNF458857 RXB458857 SGX458857 SQT458857 TAP458857 TKL458857 TUH458857 UED458857 UNZ458857 UXV458857 VHR458857 VRN458857 WBJ458857 WLF458857 WVB458857 IP524393 SL524393 ACH524393 AMD524393 AVZ524393 BFV524393 BPR524393 BZN524393 CJJ524393 CTF524393 DDB524393 DMX524393 DWT524393 EGP524393 EQL524393 FAH524393 FKD524393 FTZ524393 GDV524393 GNR524393 GXN524393 HHJ524393 HRF524393 IBB524393 IKX524393 IUT524393 JEP524393 JOL524393 JYH524393 KID524393 KRZ524393 LBV524393 LLR524393 LVN524393 MFJ524393 MPF524393 MZB524393 NIX524393 NST524393 OCP524393 OML524393 OWH524393 PGD524393 PPZ524393 PZV524393 QJR524393 QTN524393 RDJ524393 RNF524393 RXB524393 SGX524393 SQT524393 TAP524393 TKL524393 TUH524393 UED524393 UNZ524393 UXV524393 VHR524393 VRN524393 WBJ524393 WLF524393 WVB524393 IP589929 SL589929 ACH589929 AMD589929 AVZ589929 BFV589929 BPR589929 BZN589929 CJJ589929 CTF589929 DDB589929 DMX589929 DWT589929 EGP589929 EQL589929 FAH589929 FKD589929 FTZ589929 GDV589929 GNR589929 GXN589929 HHJ589929 HRF589929 IBB589929 IKX589929 IUT589929 JEP589929 JOL589929 JYH589929 KID589929 KRZ589929 LBV589929 LLR589929 LVN589929 MFJ589929 MPF589929 MZB589929 NIX589929 NST589929 OCP589929 OML589929 OWH589929 PGD589929 PPZ589929 PZV589929 QJR589929 QTN589929 RDJ589929 RNF589929 RXB589929 SGX589929 SQT589929 TAP589929 TKL589929 TUH589929 UED589929 UNZ589929 UXV589929 VHR589929 VRN589929 WBJ589929 WLF589929 WVB589929 IP655465 SL655465 ACH655465 AMD655465 AVZ655465 BFV655465 BPR655465 BZN655465 CJJ655465 CTF655465 DDB655465 DMX655465 DWT655465 EGP655465 EQL655465 FAH655465 FKD655465 FTZ655465 GDV655465 GNR655465 GXN655465 HHJ655465 HRF655465 IBB655465 IKX655465 IUT655465 JEP655465 JOL655465 JYH655465 KID655465 KRZ655465 LBV655465 LLR655465 LVN655465 MFJ655465 MPF655465 MZB655465 NIX655465 NST655465 OCP655465 OML655465 OWH655465 PGD655465 PPZ655465 PZV655465 QJR655465 QTN655465 RDJ655465 RNF655465 RXB655465 SGX655465 SQT655465 TAP655465 TKL655465 TUH655465 UED655465 UNZ655465 UXV655465 VHR655465 VRN655465 WBJ655465 WLF655465 WVB655465 IP721001 SL721001 ACH721001 AMD721001 AVZ721001 BFV721001 BPR721001 BZN721001 CJJ721001 CTF721001 DDB721001 DMX721001 DWT721001 EGP721001 EQL721001 FAH721001 FKD721001 FTZ721001 GDV721001 GNR721001 GXN721001 HHJ721001 HRF721001 IBB721001 IKX721001 IUT721001 JEP721001 JOL721001 JYH721001 KID721001 KRZ721001 LBV721001 LLR721001 LVN721001 MFJ721001 MPF721001 MZB721001 NIX721001 NST721001 OCP721001 OML721001 OWH721001 PGD721001 PPZ721001 PZV721001 QJR721001 QTN721001 RDJ721001 RNF721001 RXB721001 SGX721001 SQT721001 TAP721001 TKL721001 TUH721001 UED721001 UNZ721001 UXV721001 VHR721001 VRN721001 WBJ721001 WLF721001 WVB721001 IP786537 SL786537 ACH786537 AMD786537 AVZ786537 BFV786537 BPR786537 BZN786537 CJJ786537 CTF786537 DDB786537 DMX786537 DWT786537 EGP786537 EQL786537 FAH786537 FKD786537 FTZ786537 GDV786537 GNR786537 GXN786537 HHJ786537 HRF786537 IBB786537 IKX786537 IUT786537 JEP786537 JOL786537 JYH786537 KID786537 KRZ786537 LBV786537 LLR786537 LVN786537 MFJ786537 MPF786537 MZB786537 NIX786537 NST786537 OCP786537 OML786537 OWH786537 PGD786537 PPZ786537 PZV786537 QJR786537 QTN786537 RDJ786537 RNF786537 RXB786537 SGX786537 SQT786537 TAP786537 TKL786537 TUH786537 UED786537 UNZ786537 UXV786537 VHR786537 VRN786537 WBJ786537 WLF786537 WVB786537 IP852073 SL852073 ACH852073 AMD852073 AVZ852073 BFV852073 BPR852073 BZN852073 CJJ852073 CTF852073 DDB852073 DMX852073 DWT852073 EGP852073 EQL852073 FAH852073 FKD852073 FTZ852073 GDV852073 GNR852073 GXN852073 HHJ852073 HRF852073 IBB852073 IKX852073 IUT852073 JEP852073 JOL852073 JYH852073 KID852073 KRZ852073 LBV852073 LLR852073 LVN852073 MFJ852073 MPF852073 MZB852073 NIX852073 NST852073 OCP852073 OML852073 OWH852073 PGD852073 PPZ852073 PZV852073 QJR852073 QTN852073 RDJ852073 RNF852073 RXB852073 SGX852073 SQT852073 TAP852073 TKL852073 TUH852073 UED852073 UNZ852073 UXV852073 VHR852073 VRN852073 WBJ852073 WLF852073 WVB852073 IP917609 SL917609 ACH917609 AMD917609 AVZ917609 BFV917609 BPR917609 BZN917609 CJJ917609 CTF917609 DDB917609 DMX917609 DWT917609 EGP917609 EQL917609 FAH917609 FKD917609 FTZ917609 GDV917609 GNR917609 GXN917609 HHJ917609 HRF917609 IBB917609 IKX917609 IUT917609 JEP917609 JOL917609 JYH917609 KID917609 KRZ917609 LBV917609 LLR917609 LVN917609 MFJ917609 MPF917609 MZB917609 NIX917609 NST917609 OCP917609 OML917609 OWH917609 PGD917609 PPZ917609 PZV917609 QJR917609 QTN917609 RDJ917609 RNF917609 RXB917609 SGX917609 SQT917609 TAP917609 TKL917609 TUH917609 UED917609 UNZ917609 UXV917609 VHR917609 VRN917609 WBJ917609 WLF917609 WVB917609 IP983145 SL983145 ACH983145 AMD983145 AVZ983145 BFV983145 BPR983145 BZN983145 CJJ983145 CTF983145 DDB983145 DMX983145 DWT983145 EGP983145 EQL983145 FAH983145 FKD983145 FTZ983145 GDV983145 GNR983145 GXN983145 HHJ983145 HRF983145 IBB983145 IKX983145 IUT983145 JEP983145 JOL983145 JYH983145 KID983145 KRZ983145 LBV983145 LLR983145 LVN983145 MFJ983145 MPF983145 MZB983145 NIX983145 NST983145 OCP983145 OML983145 OWH983145 PGD983145 PPZ983145 PZV983145 QJR983145 QTN983145 RDJ983145 RNF983145 RXB983145 SGX983145 SQT983145 TAP983145 TKL983145 TUH983145 UED983145 UNZ983145 UXV983145 VHR983145 VRN983145 WBJ983145 WLF983145 WVB983145">
      <formula1>"&lt;""""&gt; "</formula1>
      <formula2>0</formula2>
    </dataValidation>
  </dataValidations>
  <pageMargins left="0.98425196850393704" right="0.39370078740157483" top="0.78740157480314965" bottom="0.98425196850393704" header="0.59055118110236227" footer="0.78740157480314965"/>
  <pageSetup paperSize="9" scale="48" firstPageNumber="0" orientation="portrait" r:id="rId1"/>
  <headerFooter alignWithMargins="0">
    <oddHeader>&amp;RPlanilha Elaborada pela SEAPL</oddHeader>
    <oddFooter>&amp;C&amp;"Arial Narrow,Normal"&amp;A - Página &amp;P</oddFooter>
  </headerFooter>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1"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487</v>
      </c>
      <c r="G7" s="913"/>
    </row>
    <row r="8" spans="1:8" ht="19.5" customHeight="1" x14ac:dyDescent="0.2">
      <c r="A8" s="917" t="s">
        <v>146</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v>2025</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488</v>
      </c>
      <c r="G16" s="894"/>
      <c r="H16" s="3"/>
    </row>
    <row r="17" spans="1:8" ht="14.1" customHeight="1" x14ac:dyDescent="0.2">
      <c r="A17" s="877" t="s">
        <v>21</v>
      </c>
      <c r="B17" s="878"/>
      <c r="C17" s="878"/>
      <c r="D17" s="878"/>
      <c r="E17" s="879"/>
      <c r="F17" s="893" t="s">
        <v>148</v>
      </c>
      <c r="G17" s="894"/>
      <c r="H17" s="3"/>
    </row>
    <row r="18" spans="1:8" ht="14.1" customHeight="1" x14ac:dyDescent="0.2">
      <c r="A18" s="877" t="s">
        <v>1</v>
      </c>
      <c r="B18" s="878"/>
      <c r="C18" s="878"/>
      <c r="D18" s="878"/>
      <c r="E18" s="879"/>
      <c r="F18" s="887">
        <v>1717.2</v>
      </c>
      <c r="G18" s="888"/>
    </row>
    <row r="19" spans="1:8" ht="14.1" customHeight="1" x14ac:dyDescent="0.2">
      <c r="A19" s="882" t="s">
        <v>8</v>
      </c>
      <c r="B19" s="883"/>
      <c r="C19" s="883"/>
      <c r="D19" s="883"/>
      <c r="E19" s="884"/>
      <c r="F19" s="889">
        <v>45658</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9</v>
      </c>
      <c r="G22" s="886"/>
    </row>
    <row r="23" spans="1:8" ht="12.75" customHeight="1" x14ac:dyDescent="0.2">
      <c r="A23" s="882" t="s">
        <v>25</v>
      </c>
      <c r="B23" s="883"/>
      <c r="C23" s="883"/>
      <c r="D23" s="883"/>
      <c r="E23" s="884"/>
      <c r="F23" s="895" t="s">
        <v>214</v>
      </c>
      <c r="G23" s="896"/>
    </row>
    <row r="24" spans="1:8" ht="25.5" customHeight="1" x14ac:dyDescent="0.2">
      <c r="A24" s="923" t="s">
        <v>481</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523" t="s">
        <v>27</v>
      </c>
      <c r="G26" s="99" t="s">
        <v>3</v>
      </c>
    </row>
    <row r="27" spans="1:8" s="34" customFormat="1" x14ac:dyDescent="0.2">
      <c r="A27" s="100" t="s">
        <v>28</v>
      </c>
      <c r="B27" s="872" t="s">
        <v>153</v>
      </c>
      <c r="C27" s="872"/>
      <c r="D27" s="872"/>
      <c r="E27" s="872"/>
      <c r="F27" s="101">
        <v>1</v>
      </c>
      <c r="G27" s="102">
        <f>F18*F27</f>
        <v>1717.2</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0.4</v>
      </c>
      <c r="G29" s="102">
        <f>ROUND(F15*F29,2)</f>
        <v>607.20000000000005</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ROUND((ROUND((3*22),2)/52.5)*60,2)*0</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2324.4</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193.62</v>
      </c>
      <c r="H37" s="53"/>
    </row>
    <row r="38" spans="1:8" x14ac:dyDescent="0.2">
      <c r="A38" s="107" t="s">
        <v>29</v>
      </c>
      <c r="B38" s="854" t="s">
        <v>157</v>
      </c>
      <c r="C38" s="855"/>
      <c r="D38" s="855"/>
      <c r="E38" s="867"/>
      <c r="F38" s="108">
        <f>ROUND((1/11)+(1/11)/3, 3)</f>
        <v>0.121</v>
      </c>
      <c r="G38" s="8">
        <f>ROUND(G$34*F38,2)</f>
        <v>281.25</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160.62</v>
      </c>
      <c r="H40" s="4"/>
    </row>
    <row r="41" spans="1:8" x14ac:dyDescent="0.2">
      <c r="A41" s="842" t="s">
        <v>41</v>
      </c>
      <c r="B41" s="843"/>
      <c r="C41" s="843"/>
      <c r="D41" s="843"/>
      <c r="E41" s="841"/>
      <c r="F41" s="41">
        <f>ROUND(SUM(F39:F40),4)</f>
        <v>0.27339999999999998</v>
      </c>
      <c r="G41" s="111">
        <f>SUM(G37:G40)</f>
        <v>635.49</v>
      </c>
      <c r="H41" s="4">
        <f>ROUND(G34*F41,2)</f>
        <v>635.49</v>
      </c>
    </row>
    <row r="42" spans="1:8" x14ac:dyDescent="0.2">
      <c r="A42" s="835" t="s">
        <v>118</v>
      </c>
      <c r="B42" s="836"/>
      <c r="C42" s="836"/>
      <c r="D42" s="836"/>
      <c r="E42" s="836"/>
      <c r="F42" s="836"/>
      <c r="G42" s="837"/>
      <c r="H42" s="4">
        <f>SUM(G41,G34)</f>
        <v>2959.89</v>
      </c>
    </row>
    <row r="43" spans="1:8" x14ac:dyDescent="0.2">
      <c r="A43" s="42" t="s">
        <v>28</v>
      </c>
      <c r="B43" s="838" t="s">
        <v>42</v>
      </c>
      <c r="C43" s="839"/>
      <c r="D43" s="839"/>
      <c r="E43" s="869"/>
      <c r="F43" s="43">
        <v>0.2</v>
      </c>
      <c r="G43" s="22">
        <f>ROUND((G$34)*F43,2)</f>
        <v>464.88</v>
      </c>
      <c r="H43" s="4"/>
    </row>
    <row r="44" spans="1:8" x14ac:dyDescent="0.2">
      <c r="A44" s="36" t="s">
        <v>29</v>
      </c>
      <c r="B44" s="852" t="s">
        <v>43</v>
      </c>
      <c r="C44" s="853"/>
      <c r="D44" s="853"/>
      <c r="E44" s="866"/>
      <c r="F44" s="105">
        <v>2.5000000000000001E-2</v>
      </c>
      <c r="G44" s="112">
        <f>ROUND((G$34)*F44,2)</f>
        <v>58.11</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34.869999999999997</v>
      </c>
      <c r="H46" s="4"/>
    </row>
    <row r="47" spans="1:8" x14ac:dyDescent="0.2">
      <c r="A47" s="36" t="s">
        <v>32</v>
      </c>
      <c r="B47" s="852" t="s">
        <v>46</v>
      </c>
      <c r="C47" s="853"/>
      <c r="D47" s="853"/>
      <c r="E47" s="866"/>
      <c r="F47" s="105">
        <v>0.01</v>
      </c>
      <c r="G47" s="112">
        <f t="shared" si="0"/>
        <v>23.24</v>
      </c>
      <c r="H47" s="4"/>
    </row>
    <row r="48" spans="1:8" x14ac:dyDescent="0.2">
      <c r="A48" s="36" t="s">
        <v>34</v>
      </c>
      <c r="B48" s="852" t="s">
        <v>47</v>
      </c>
      <c r="C48" s="853"/>
      <c r="D48" s="853"/>
      <c r="E48" s="866"/>
      <c r="F48" s="105">
        <v>6.0000000000000001E-3</v>
      </c>
      <c r="G48" s="112">
        <f t="shared" si="0"/>
        <v>13.95</v>
      </c>
      <c r="H48" s="4"/>
    </row>
    <row r="49" spans="1:8" x14ac:dyDescent="0.2">
      <c r="A49" s="36" t="s">
        <v>48</v>
      </c>
      <c r="B49" s="852" t="s">
        <v>49</v>
      </c>
      <c r="C49" s="853"/>
      <c r="D49" s="853"/>
      <c r="E49" s="866"/>
      <c r="F49" s="105">
        <v>2E-3</v>
      </c>
      <c r="G49" s="112">
        <f t="shared" si="0"/>
        <v>4.6500000000000004</v>
      </c>
      <c r="H49" s="4"/>
    </row>
    <row r="50" spans="1:8" x14ac:dyDescent="0.2">
      <c r="A50" s="107" t="s">
        <v>50</v>
      </c>
      <c r="B50" s="854" t="s">
        <v>51</v>
      </c>
      <c r="C50" s="855"/>
      <c r="D50" s="855"/>
      <c r="E50" s="867"/>
      <c r="F50" s="108">
        <v>0.08</v>
      </c>
      <c r="G50" s="112">
        <f t="shared" si="0"/>
        <v>185.95</v>
      </c>
      <c r="H50" s="4"/>
    </row>
    <row r="51" spans="1:8" x14ac:dyDescent="0.2">
      <c r="A51" s="842" t="s">
        <v>52</v>
      </c>
      <c r="B51" s="843"/>
      <c r="C51" s="843"/>
      <c r="D51" s="843"/>
      <c r="E51" s="841"/>
      <c r="F51" s="41">
        <f>SUM(F43:F50)</f>
        <v>0.33800000000000002</v>
      </c>
      <c r="G51" s="111">
        <f>SUM(G43:G50)</f>
        <v>785.65</v>
      </c>
      <c r="H51" s="4">
        <f>ROUND(G34*F51,2)</f>
        <v>785.65</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55</v>
      </c>
      <c r="B54" s="858" t="s">
        <v>56</v>
      </c>
      <c r="C54" s="859"/>
      <c r="D54" s="859"/>
      <c r="E54" s="113">
        <f>20.76-1.39</f>
        <v>19.37</v>
      </c>
      <c r="F54" s="114">
        <v>26</v>
      </c>
      <c r="G54" s="102">
        <f>ROUND((E54*F54),2)</f>
        <v>503.62</v>
      </c>
      <c r="H54" s="35"/>
    </row>
    <row r="55" spans="1:8" s="34" customFormat="1" x14ac:dyDescent="0.2">
      <c r="A55" s="36" t="s">
        <v>57</v>
      </c>
      <c r="B55" s="858" t="s">
        <v>58</v>
      </c>
      <c r="C55" s="859"/>
      <c r="D55" s="859"/>
      <c r="E55" s="113">
        <v>144.68</v>
      </c>
      <c r="F55" s="114">
        <v>1</v>
      </c>
      <c r="G55" s="102">
        <f>ROUND((E55*F55),2)</f>
        <v>144.68</v>
      </c>
      <c r="H55" s="35"/>
    </row>
    <row r="56" spans="1:8" s="34" customFormat="1" x14ac:dyDescent="0.2">
      <c r="A56" s="36" t="s">
        <v>30</v>
      </c>
      <c r="B56" s="858" t="s">
        <v>149</v>
      </c>
      <c r="C56" s="859"/>
      <c r="D56" s="859"/>
      <c r="E56" s="113">
        <v>35.33</v>
      </c>
      <c r="F56" s="114">
        <v>1</v>
      </c>
      <c r="G56" s="102">
        <f>ROUND((E56*F56),2)</f>
        <v>35.33</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150</v>
      </c>
      <c r="C58" s="859"/>
      <c r="D58" s="859"/>
      <c r="E58" s="113">
        <f>20.76</f>
        <v>20.76</v>
      </c>
      <c r="F58" s="114">
        <v>1</v>
      </c>
      <c r="G58" s="102">
        <f>ROUND((E58*F58)/12,2)</f>
        <v>1.73</v>
      </c>
      <c r="H58" s="35"/>
    </row>
    <row r="59" spans="1:8" s="34" customFormat="1" x14ac:dyDescent="0.2">
      <c r="A59" s="36" t="s">
        <v>34</v>
      </c>
      <c r="B59" s="864" t="s">
        <v>180</v>
      </c>
      <c r="C59" s="865"/>
      <c r="D59" s="865"/>
      <c r="E59" s="113">
        <f>15.96</f>
        <v>15.96</v>
      </c>
      <c r="F59" s="115">
        <v>1</v>
      </c>
      <c r="G59" s="116">
        <f>ROUND((E59*F59),2)</f>
        <v>15.96</v>
      </c>
      <c r="H59" s="35"/>
    </row>
    <row r="60" spans="1:8" s="34" customFormat="1" x14ac:dyDescent="0.2">
      <c r="A60" s="36" t="s">
        <v>48</v>
      </c>
      <c r="B60" s="858" t="s">
        <v>254</v>
      </c>
      <c r="C60" s="859"/>
      <c r="D60" s="859"/>
      <c r="E60" s="113">
        <v>300</v>
      </c>
      <c r="F60" s="114">
        <v>1</v>
      </c>
      <c r="G60" s="102">
        <f>ROUND((E60*F60),2)</f>
        <v>300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1001.32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635.49</v>
      </c>
      <c r="H65" s="4"/>
    </row>
    <row r="66" spans="1:8" x14ac:dyDescent="0.2">
      <c r="A66" s="119" t="s">
        <v>64</v>
      </c>
      <c r="B66" s="806" t="s">
        <v>128</v>
      </c>
      <c r="C66" s="807"/>
      <c r="D66" s="807"/>
      <c r="E66" s="807"/>
      <c r="F66" s="18">
        <f>F51</f>
        <v>0.33800000000000002</v>
      </c>
      <c r="G66" s="120">
        <f>G51</f>
        <v>785.65</v>
      </c>
      <c r="H66" s="4"/>
    </row>
    <row r="67" spans="1:8" x14ac:dyDescent="0.2">
      <c r="A67" s="119" t="s">
        <v>65</v>
      </c>
      <c r="B67" s="806" t="s">
        <v>66</v>
      </c>
      <c r="C67" s="807"/>
      <c r="D67" s="807"/>
      <c r="E67" s="807"/>
      <c r="F67" s="808"/>
      <c r="G67" s="120">
        <f>G63</f>
        <v>1001.32</v>
      </c>
      <c r="H67" s="4"/>
    </row>
    <row r="68" spans="1:8" x14ac:dyDescent="0.2">
      <c r="A68" s="815" t="s">
        <v>67</v>
      </c>
      <c r="B68" s="816"/>
      <c r="C68" s="816"/>
      <c r="D68" s="816"/>
      <c r="E68" s="816"/>
      <c r="F68" s="817"/>
      <c r="G68" s="104">
        <f>SUM(G65:G67)</f>
        <v>2422.46</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EPI''s'!K17</f>
        <v>0</v>
      </c>
      <c r="F108" s="24">
        <v>1</v>
      </c>
      <c r="G108" s="102">
        <f>ROUND(SUM(C108:E108),2)*F108</f>
        <v>0</v>
      </c>
      <c r="H108" s="4"/>
    </row>
    <row r="109" spans="1:8" s="34" customFormat="1" x14ac:dyDescent="0.2">
      <c r="A109" s="36" t="s">
        <v>29</v>
      </c>
      <c r="B109" s="846" t="str">
        <f>'Uniformes e EPI''s'!A19</f>
        <v>EPI's</v>
      </c>
      <c r="C109" s="801"/>
      <c r="D109" s="801"/>
      <c r="E109" s="44">
        <f>'Uniformes e EPI''s'!J39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f>ROUND((E114*F114)/12,2)</f>
        <v>0</v>
      </c>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0.05</v>
      </c>
      <c r="G124" s="106">
        <f ca="1">ROUND(G$139*F124,2)</f>
        <v>249.84</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0.05</v>
      </c>
      <c r="G127" s="128">
        <f ca="1">SUM(G122:G126)</f>
        <v>249.84</v>
      </c>
      <c r="H127" s="4">
        <f ca="1">ROUND(G139*F127,2)</f>
        <v>249.84</v>
      </c>
    </row>
    <row r="128" spans="1:8" x14ac:dyDescent="0.2">
      <c r="A128" s="815" t="s">
        <v>104</v>
      </c>
      <c r="B128" s="816"/>
      <c r="C128" s="816"/>
      <c r="D128" s="816"/>
      <c r="E128" s="816"/>
      <c r="F128" s="23">
        <f>SUM(F119,F120,F127)</f>
        <v>0.05</v>
      </c>
      <c r="G128" s="124">
        <f ca="1">SUM(G119:G126)</f>
        <v>249.84</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2324.4</v>
      </c>
      <c r="H130" s="4"/>
    </row>
    <row r="131" spans="1:8" x14ac:dyDescent="0.2">
      <c r="A131" s="119" t="s">
        <v>29</v>
      </c>
      <c r="B131" s="806" t="s">
        <v>107</v>
      </c>
      <c r="C131" s="807"/>
      <c r="D131" s="807"/>
      <c r="E131" s="807"/>
      <c r="F131" s="808"/>
      <c r="G131" s="120">
        <f>G68</f>
        <v>2422.46</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4746.8599999999997</v>
      </c>
      <c r="H135" s="4"/>
    </row>
    <row r="136" spans="1:8" x14ac:dyDescent="0.2">
      <c r="A136" s="119" t="s">
        <v>34</v>
      </c>
      <c r="B136" s="812" t="s">
        <v>112</v>
      </c>
      <c r="C136" s="813"/>
      <c r="D136" s="813"/>
      <c r="E136" s="813"/>
      <c r="F136" s="814"/>
      <c r="G136" s="120">
        <f ca="1">G128</f>
        <v>249.84</v>
      </c>
      <c r="H136" s="4"/>
    </row>
    <row r="137" spans="1:8" x14ac:dyDescent="0.2">
      <c r="A137" s="815" t="s">
        <v>113</v>
      </c>
      <c r="B137" s="816"/>
      <c r="C137" s="816"/>
      <c r="D137" s="816"/>
      <c r="E137" s="816"/>
      <c r="F137" s="817"/>
      <c r="G137" s="104">
        <f ca="1">SUM(G135:G136)</f>
        <v>4996.7</v>
      </c>
      <c r="H137" s="4">
        <f ca="1">SUM(G130:G136)-G135</f>
        <v>4996.7</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4996.7</v>
      </c>
      <c r="H139" s="4"/>
    </row>
    <row r="140" spans="1:8" x14ac:dyDescent="0.2">
      <c r="A140" s="1300"/>
      <c r="B140" s="1301" t="s">
        <v>115</v>
      </c>
      <c r="C140" s="1301"/>
      <c r="D140" s="1301"/>
      <c r="E140" s="1301"/>
      <c r="F140" s="1302">
        <f>F21</f>
        <v>1</v>
      </c>
      <c r="G140" s="1303">
        <f ca="1">G139*F140</f>
        <v>4996.7</v>
      </c>
      <c r="H140" s="4"/>
    </row>
    <row r="141" spans="1:8" x14ac:dyDescent="0.2">
      <c r="F141" s="52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6"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487</v>
      </c>
      <c r="G7" s="913"/>
    </row>
    <row r="8" spans="1:8" ht="19.5" customHeight="1" x14ac:dyDescent="0.2">
      <c r="A8" s="917" t="s">
        <v>146</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v>2025</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489</v>
      </c>
      <c r="G16" s="894"/>
      <c r="H16" s="3"/>
    </row>
    <row r="17" spans="1:8" ht="14.1" customHeight="1" x14ac:dyDescent="0.2">
      <c r="A17" s="877" t="s">
        <v>21</v>
      </c>
      <c r="B17" s="878"/>
      <c r="C17" s="878"/>
      <c r="D17" s="878"/>
      <c r="E17" s="879"/>
      <c r="F17" s="893" t="s">
        <v>148</v>
      </c>
      <c r="G17" s="894"/>
      <c r="H17" s="3"/>
    </row>
    <row r="18" spans="1:8" ht="14.1" customHeight="1" x14ac:dyDescent="0.2">
      <c r="A18" s="877" t="s">
        <v>1</v>
      </c>
      <c r="B18" s="878"/>
      <c r="C18" s="878"/>
      <c r="D18" s="878"/>
      <c r="E18" s="879"/>
      <c r="F18" s="887">
        <v>1717.2</v>
      </c>
      <c r="G18" s="888"/>
    </row>
    <row r="19" spans="1:8" ht="14.1" customHeight="1" x14ac:dyDescent="0.2">
      <c r="A19" s="882" t="s">
        <v>8</v>
      </c>
      <c r="B19" s="883"/>
      <c r="C19" s="883"/>
      <c r="D19" s="883"/>
      <c r="E19" s="884"/>
      <c r="F19" s="889">
        <v>45658</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3</v>
      </c>
      <c r="G22" s="886"/>
    </row>
    <row r="23" spans="1:8" ht="12.75" customHeight="1" x14ac:dyDescent="0.2">
      <c r="A23" s="882" t="s">
        <v>25</v>
      </c>
      <c r="B23" s="883"/>
      <c r="C23" s="883"/>
      <c r="D23" s="883"/>
      <c r="E23" s="884"/>
      <c r="F23" s="895" t="s">
        <v>474</v>
      </c>
      <c r="G23" s="896"/>
    </row>
    <row r="24" spans="1:8" ht="25.5" customHeight="1" x14ac:dyDescent="0.2">
      <c r="A24" s="923" t="s">
        <v>482</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523" t="s">
        <v>27</v>
      </c>
      <c r="G26" s="99" t="s">
        <v>3</v>
      </c>
    </row>
    <row r="27" spans="1:8" s="34" customFormat="1" x14ac:dyDescent="0.2">
      <c r="A27" s="100" t="s">
        <v>28</v>
      </c>
      <c r="B27" s="872" t="s">
        <v>153</v>
      </c>
      <c r="C27" s="872"/>
      <c r="D27" s="872"/>
      <c r="E27" s="872"/>
      <c r="F27" s="101">
        <v>1</v>
      </c>
      <c r="G27" s="102">
        <f>F18*F27</f>
        <v>1717.2</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0.4</v>
      </c>
      <c r="G29" s="102">
        <f>ROUND(F15*F29,2)</f>
        <v>607.20000000000005</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274">
        <f>ROUND((ROUND((1*13),2)/52.5)*60,2)</f>
        <v>14.86</v>
      </c>
      <c r="G31" s="102">
        <f>ROUND((F18/192*0.2)*F31,2)</f>
        <v>26.58</v>
      </c>
      <c r="H31" s="55"/>
    </row>
    <row r="32" spans="1:8" s="34" customFormat="1" x14ac:dyDescent="0.2">
      <c r="A32" s="100" t="s">
        <v>34</v>
      </c>
      <c r="B32" s="870" t="s">
        <v>155</v>
      </c>
      <c r="C32" s="870"/>
      <c r="D32" s="870"/>
      <c r="E32" s="870"/>
      <c r="F32" s="101">
        <f>ROUND(SUM(F31)/25*5,2)</f>
        <v>2.97</v>
      </c>
      <c r="G32" s="102">
        <f>ROUND((F18/192*0.2)*F32,2)</f>
        <v>5.31</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2356.29</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196.28</v>
      </c>
      <c r="H37" s="53"/>
    </row>
    <row r="38" spans="1:8" x14ac:dyDescent="0.2">
      <c r="A38" s="107" t="s">
        <v>29</v>
      </c>
      <c r="B38" s="854" t="s">
        <v>157</v>
      </c>
      <c r="C38" s="855"/>
      <c r="D38" s="855"/>
      <c r="E38" s="867"/>
      <c r="F38" s="108">
        <f>ROUND((1/11)+(1/11)/3, 3)</f>
        <v>0.121</v>
      </c>
      <c r="G38" s="8">
        <f>ROUND(G$34*F38,2)</f>
        <v>285.11</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162.82</v>
      </c>
      <c r="H40" s="4"/>
    </row>
    <row r="41" spans="1:8" x14ac:dyDescent="0.2">
      <c r="A41" s="842" t="s">
        <v>41</v>
      </c>
      <c r="B41" s="843"/>
      <c r="C41" s="843"/>
      <c r="D41" s="843"/>
      <c r="E41" s="841"/>
      <c r="F41" s="41">
        <f>ROUND(SUM(F39:F40),4)</f>
        <v>0.27339999999999998</v>
      </c>
      <c r="G41" s="111">
        <f>SUM(G37:G40)</f>
        <v>644.21</v>
      </c>
      <c r="H41" s="4">
        <f>ROUND(G34*F41,2)</f>
        <v>644.21</v>
      </c>
    </row>
    <row r="42" spans="1:8" x14ac:dyDescent="0.2">
      <c r="A42" s="835" t="s">
        <v>118</v>
      </c>
      <c r="B42" s="836"/>
      <c r="C42" s="836"/>
      <c r="D42" s="836"/>
      <c r="E42" s="836"/>
      <c r="F42" s="836"/>
      <c r="G42" s="837"/>
      <c r="H42" s="4">
        <f>SUM(G41,G34)</f>
        <v>3000.5</v>
      </c>
    </row>
    <row r="43" spans="1:8" x14ac:dyDescent="0.2">
      <c r="A43" s="42" t="s">
        <v>28</v>
      </c>
      <c r="B43" s="838" t="s">
        <v>42</v>
      </c>
      <c r="C43" s="839"/>
      <c r="D43" s="839"/>
      <c r="E43" s="869"/>
      <c r="F43" s="43">
        <v>0.2</v>
      </c>
      <c r="G43" s="22">
        <f>ROUND((G$34)*F43,2)</f>
        <v>471.26</v>
      </c>
      <c r="H43" s="4"/>
    </row>
    <row r="44" spans="1:8" x14ac:dyDescent="0.2">
      <c r="A44" s="36" t="s">
        <v>29</v>
      </c>
      <c r="B44" s="852" t="s">
        <v>43</v>
      </c>
      <c r="C44" s="853"/>
      <c r="D44" s="853"/>
      <c r="E44" s="866"/>
      <c r="F44" s="105">
        <v>2.5000000000000001E-2</v>
      </c>
      <c r="G44" s="112">
        <f>ROUND((G$34)*F44,2)</f>
        <v>58.91</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35.340000000000003</v>
      </c>
      <c r="H46" s="4"/>
    </row>
    <row r="47" spans="1:8" x14ac:dyDescent="0.2">
      <c r="A47" s="36" t="s">
        <v>32</v>
      </c>
      <c r="B47" s="852" t="s">
        <v>46</v>
      </c>
      <c r="C47" s="853"/>
      <c r="D47" s="853"/>
      <c r="E47" s="866"/>
      <c r="F47" s="105">
        <v>0.01</v>
      </c>
      <c r="G47" s="112">
        <f t="shared" si="0"/>
        <v>23.56</v>
      </c>
      <c r="H47" s="4"/>
    </row>
    <row r="48" spans="1:8" x14ac:dyDescent="0.2">
      <c r="A48" s="36" t="s">
        <v>34</v>
      </c>
      <c r="B48" s="852" t="s">
        <v>47</v>
      </c>
      <c r="C48" s="853"/>
      <c r="D48" s="853"/>
      <c r="E48" s="866"/>
      <c r="F48" s="105">
        <v>6.0000000000000001E-3</v>
      </c>
      <c r="G48" s="112">
        <f t="shared" si="0"/>
        <v>14.14</v>
      </c>
      <c r="H48" s="4"/>
    </row>
    <row r="49" spans="1:8" x14ac:dyDescent="0.2">
      <c r="A49" s="36" t="s">
        <v>48</v>
      </c>
      <c r="B49" s="852" t="s">
        <v>49</v>
      </c>
      <c r="C49" s="853"/>
      <c r="D49" s="853"/>
      <c r="E49" s="866"/>
      <c r="F49" s="105">
        <v>2E-3</v>
      </c>
      <c r="G49" s="112">
        <f t="shared" si="0"/>
        <v>4.71</v>
      </c>
      <c r="H49" s="4"/>
    </row>
    <row r="50" spans="1:8" x14ac:dyDescent="0.2">
      <c r="A50" s="107" t="s">
        <v>50</v>
      </c>
      <c r="B50" s="854" t="s">
        <v>51</v>
      </c>
      <c r="C50" s="855"/>
      <c r="D50" s="855"/>
      <c r="E50" s="867"/>
      <c r="F50" s="108">
        <v>0.08</v>
      </c>
      <c r="G50" s="112">
        <f t="shared" si="0"/>
        <v>188.5</v>
      </c>
      <c r="H50" s="4"/>
    </row>
    <row r="51" spans="1:8" x14ac:dyDescent="0.2">
      <c r="A51" s="842" t="s">
        <v>52</v>
      </c>
      <c r="B51" s="843"/>
      <c r="C51" s="843"/>
      <c r="D51" s="843"/>
      <c r="E51" s="841"/>
      <c r="F51" s="41">
        <f>SUM(F43:F50)</f>
        <v>0.33800000000000002</v>
      </c>
      <c r="G51" s="111">
        <f>SUM(G43:G50)</f>
        <v>796.42</v>
      </c>
      <c r="H51" s="4">
        <f>ROUND(G34*F51,2)</f>
        <v>796.43</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55</v>
      </c>
      <c r="B54" s="858" t="s">
        <v>56</v>
      </c>
      <c r="C54" s="859"/>
      <c r="D54" s="859"/>
      <c r="E54" s="113">
        <f>20.76-1.39</f>
        <v>19.37</v>
      </c>
      <c r="F54" s="114">
        <v>26</v>
      </c>
      <c r="G54" s="102">
        <f>ROUND((E54*F54),2)</f>
        <v>503.62</v>
      </c>
      <c r="H54" s="35"/>
    </row>
    <row r="55" spans="1:8" s="34" customFormat="1" x14ac:dyDescent="0.2">
      <c r="A55" s="36" t="s">
        <v>57</v>
      </c>
      <c r="B55" s="858" t="s">
        <v>58</v>
      </c>
      <c r="C55" s="859"/>
      <c r="D55" s="859"/>
      <c r="E55" s="113">
        <v>144.68</v>
      </c>
      <c r="F55" s="114">
        <v>1</v>
      </c>
      <c r="G55" s="102">
        <f>ROUND((E55*F55),2)</f>
        <v>144.68</v>
      </c>
      <c r="H55" s="35"/>
    </row>
    <row r="56" spans="1:8" s="34" customFormat="1" x14ac:dyDescent="0.2">
      <c r="A56" s="36" t="s">
        <v>30</v>
      </c>
      <c r="B56" s="858" t="s">
        <v>149</v>
      </c>
      <c r="C56" s="859"/>
      <c r="D56" s="859"/>
      <c r="E56" s="113">
        <v>35.33</v>
      </c>
      <c r="F56" s="114">
        <v>1</v>
      </c>
      <c r="G56" s="102">
        <f>ROUND((E56*F56),2)</f>
        <v>35.33</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150</v>
      </c>
      <c r="C58" s="859"/>
      <c r="D58" s="859"/>
      <c r="E58" s="113">
        <f>20.76</f>
        <v>20.76</v>
      </c>
      <c r="F58" s="114">
        <v>1</v>
      </c>
      <c r="G58" s="102">
        <f>ROUND((E58*F58)/12,2)</f>
        <v>1.73</v>
      </c>
      <c r="H58" s="35"/>
    </row>
    <row r="59" spans="1:8" s="34" customFormat="1" x14ac:dyDescent="0.2">
      <c r="A59" s="36" t="s">
        <v>34</v>
      </c>
      <c r="B59" s="864" t="s">
        <v>180</v>
      </c>
      <c r="C59" s="865"/>
      <c r="D59" s="865"/>
      <c r="E59" s="113">
        <f>15.96</f>
        <v>15.96</v>
      </c>
      <c r="F59" s="115">
        <v>1</v>
      </c>
      <c r="G59" s="116">
        <f>ROUND((E59*F59),2)</f>
        <v>15.96</v>
      </c>
      <c r="H59" s="35"/>
    </row>
    <row r="60" spans="1:8" s="34" customFormat="1" x14ac:dyDescent="0.2">
      <c r="A60" s="36" t="s">
        <v>48</v>
      </c>
      <c r="B60" s="858" t="s">
        <v>254</v>
      </c>
      <c r="C60" s="859"/>
      <c r="D60" s="859"/>
      <c r="E60" s="113">
        <v>300</v>
      </c>
      <c r="F60" s="114">
        <v>1</v>
      </c>
      <c r="G60" s="102">
        <f>ROUND((E60*F60),2)</f>
        <v>300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1001.32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644.21</v>
      </c>
      <c r="H65" s="4"/>
    </row>
    <row r="66" spans="1:8" x14ac:dyDescent="0.2">
      <c r="A66" s="119" t="s">
        <v>64</v>
      </c>
      <c r="B66" s="806" t="s">
        <v>128</v>
      </c>
      <c r="C66" s="807"/>
      <c r="D66" s="807"/>
      <c r="E66" s="807"/>
      <c r="F66" s="18">
        <f>F51</f>
        <v>0.33800000000000002</v>
      </c>
      <c r="G66" s="120">
        <f>G51</f>
        <v>796.42</v>
      </c>
      <c r="H66" s="4"/>
    </row>
    <row r="67" spans="1:8" x14ac:dyDescent="0.2">
      <c r="A67" s="119" t="s">
        <v>65</v>
      </c>
      <c r="B67" s="806" t="s">
        <v>66</v>
      </c>
      <c r="C67" s="807"/>
      <c r="D67" s="807"/>
      <c r="E67" s="807"/>
      <c r="F67" s="808"/>
      <c r="G67" s="120">
        <f>G63</f>
        <v>1001.32</v>
      </c>
      <c r="H67" s="4"/>
    </row>
    <row r="68" spans="1:8" x14ac:dyDescent="0.2">
      <c r="A68" s="815" t="s">
        <v>67</v>
      </c>
      <c r="B68" s="816"/>
      <c r="C68" s="816"/>
      <c r="D68" s="816"/>
      <c r="E68" s="816"/>
      <c r="F68" s="817"/>
      <c r="G68" s="104">
        <f>SUM(G65:G67)</f>
        <v>2441.9499999999998</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EPI''s'!K17</f>
        <v>0</v>
      </c>
      <c r="F108" s="24">
        <v>1</v>
      </c>
      <c r="G108" s="102">
        <f>ROUND(SUM(C108:E108),2)*F108</f>
        <v>0</v>
      </c>
      <c r="H108" s="4"/>
    </row>
    <row r="109" spans="1:8" s="34" customFormat="1" x14ac:dyDescent="0.2">
      <c r="A109" s="36" t="s">
        <v>29</v>
      </c>
      <c r="B109" s="846" t="str">
        <f>'Uniformes e EPI''s'!A19</f>
        <v>EPI's</v>
      </c>
      <c r="C109" s="801"/>
      <c r="D109" s="801"/>
      <c r="E109" s="44">
        <f>'Uniformes e EPI''s'!J39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f>ROUND((E114*F114)/12,2)</f>
        <v>0</v>
      </c>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0.05</v>
      </c>
      <c r="G124" s="106">
        <f ca="1">ROUND(G$139*F124,2)</f>
        <v>252.54</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0.05</v>
      </c>
      <c r="G127" s="128">
        <f ca="1">SUM(G122:G126)</f>
        <v>252.54</v>
      </c>
      <c r="H127" s="4">
        <f ca="1">ROUND(G139*F127,2)</f>
        <v>252.54</v>
      </c>
    </row>
    <row r="128" spans="1:8" x14ac:dyDescent="0.2">
      <c r="A128" s="815" t="s">
        <v>104</v>
      </c>
      <c r="B128" s="816"/>
      <c r="C128" s="816"/>
      <c r="D128" s="816"/>
      <c r="E128" s="816"/>
      <c r="F128" s="23">
        <f>SUM(F119,F120,F127)</f>
        <v>0.05</v>
      </c>
      <c r="G128" s="124">
        <f ca="1">SUM(G119:G126)</f>
        <v>252.54</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2356.29</v>
      </c>
      <c r="H130" s="4"/>
    </row>
    <row r="131" spans="1:8" x14ac:dyDescent="0.2">
      <c r="A131" s="119" t="s">
        <v>29</v>
      </c>
      <c r="B131" s="806" t="s">
        <v>107</v>
      </c>
      <c r="C131" s="807"/>
      <c r="D131" s="807"/>
      <c r="E131" s="807"/>
      <c r="F131" s="808"/>
      <c r="G131" s="120">
        <f>G68</f>
        <v>2441.9499999999998</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4798.24</v>
      </c>
      <c r="H135" s="4"/>
    </row>
    <row r="136" spans="1:8" x14ac:dyDescent="0.2">
      <c r="A136" s="119" t="s">
        <v>34</v>
      </c>
      <c r="B136" s="812" t="s">
        <v>112</v>
      </c>
      <c r="C136" s="813"/>
      <c r="D136" s="813"/>
      <c r="E136" s="813"/>
      <c r="F136" s="814"/>
      <c r="G136" s="120">
        <f ca="1">G128</f>
        <v>252.54</v>
      </c>
      <c r="H136" s="4"/>
    </row>
    <row r="137" spans="1:8" x14ac:dyDescent="0.2">
      <c r="A137" s="815" t="s">
        <v>113</v>
      </c>
      <c r="B137" s="816"/>
      <c r="C137" s="816"/>
      <c r="D137" s="816"/>
      <c r="E137" s="816"/>
      <c r="F137" s="817"/>
      <c r="G137" s="104">
        <f ca="1">SUM(G135:G136)</f>
        <v>5050.78</v>
      </c>
      <c r="H137" s="4">
        <f ca="1">SUM(G130:G136)-G135</f>
        <v>5050.78</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5050.78</v>
      </c>
      <c r="H139" s="4"/>
    </row>
    <row r="140" spans="1:8" x14ac:dyDescent="0.2">
      <c r="A140" s="1300"/>
      <c r="B140" s="1301" t="s">
        <v>115</v>
      </c>
      <c r="C140" s="1301"/>
      <c r="D140" s="1301"/>
      <c r="E140" s="1301"/>
      <c r="F140" s="1302">
        <f>F21</f>
        <v>1</v>
      </c>
      <c r="G140" s="1303">
        <f ca="1">G139*F140</f>
        <v>5050.78</v>
      </c>
      <c r="H140" s="4"/>
    </row>
    <row r="141" spans="1:8" x14ac:dyDescent="0.2">
      <c r="F141" s="52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2"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487</v>
      </c>
      <c r="G7" s="913"/>
    </row>
    <row r="8" spans="1:8" ht="19.5" customHeight="1" x14ac:dyDescent="0.2">
      <c r="A8" s="917" t="s">
        <v>215</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t="s">
        <v>463</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216</v>
      </c>
      <c r="G16" s="894"/>
      <c r="H16" s="3"/>
    </row>
    <row r="17" spans="1:8" ht="14.1" customHeight="1" x14ac:dyDescent="0.2">
      <c r="A17" s="877" t="s">
        <v>21</v>
      </c>
      <c r="B17" s="878"/>
      <c r="C17" s="878"/>
      <c r="D17" s="878"/>
      <c r="E17" s="879"/>
      <c r="F17" s="893" t="s">
        <v>218</v>
      </c>
      <c r="G17" s="894"/>
      <c r="H17" s="3"/>
    </row>
    <row r="18" spans="1:8" ht="14.1" customHeight="1" x14ac:dyDescent="0.2">
      <c r="A18" s="877" t="s">
        <v>1</v>
      </c>
      <c r="B18" s="878"/>
      <c r="C18" s="878"/>
      <c r="D18" s="878"/>
      <c r="E18" s="879"/>
      <c r="F18" s="887">
        <v>1732.39</v>
      </c>
      <c r="G18" s="888"/>
    </row>
    <row r="19" spans="1:8" ht="14.1" customHeight="1" x14ac:dyDescent="0.2">
      <c r="A19" s="882" t="s">
        <v>8</v>
      </c>
      <c r="B19" s="883"/>
      <c r="C19" s="883"/>
      <c r="D19" s="883"/>
      <c r="E19" s="884"/>
      <c r="F19" s="889">
        <v>45717</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2</v>
      </c>
      <c r="G22" s="886"/>
    </row>
    <row r="23" spans="1:8" ht="12.75" customHeight="1" x14ac:dyDescent="0.2">
      <c r="A23" s="882" t="s">
        <v>25</v>
      </c>
      <c r="B23" s="883"/>
      <c r="C23" s="883"/>
      <c r="D23" s="883"/>
      <c r="E23" s="884"/>
      <c r="F23" s="895" t="s">
        <v>214</v>
      </c>
      <c r="G23" s="896"/>
    </row>
    <row r="24" spans="1:8" ht="21" customHeight="1" x14ac:dyDescent="0.2">
      <c r="A24" s="923" t="s">
        <v>483</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523" t="s">
        <v>27</v>
      </c>
      <c r="G26" s="99" t="s">
        <v>3</v>
      </c>
    </row>
    <row r="27" spans="1:8" s="34" customFormat="1" x14ac:dyDescent="0.2">
      <c r="A27" s="100" t="s">
        <v>28</v>
      </c>
      <c r="B27" s="872" t="s">
        <v>153</v>
      </c>
      <c r="C27" s="872"/>
      <c r="D27" s="872"/>
      <c r="E27" s="872"/>
      <c r="F27" s="101">
        <v>1</v>
      </c>
      <c r="G27" s="102">
        <f>F18*F27</f>
        <v>1732.39</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0.2</v>
      </c>
      <c r="G29" s="102">
        <f>ROUND(F15*F29,2)</f>
        <v>303.60000000000002</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2035.99</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169.6</v>
      </c>
      <c r="H37" s="53"/>
    </row>
    <row r="38" spans="1:8" x14ac:dyDescent="0.2">
      <c r="A38" s="107" t="s">
        <v>29</v>
      </c>
      <c r="B38" s="854" t="s">
        <v>157</v>
      </c>
      <c r="C38" s="855"/>
      <c r="D38" s="855"/>
      <c r="E38" s="867"/>
      <c r="F38" s="108">
        <f>ROUND((1/11)+(1/11)/3, 3)</f>
        <v>0.121</v>
      </c>
      <c r="G38" s="8">
        <f>ROUND(G$34*F38,2)</f>
        <v>246.35</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140.69</v>
      </c>
      <c r="H40" s="4"/>
    </row>
    <row r="41" spans="1:8" x14ac:dyDescent="0.2">
      <c r="A41" s="842" t="s">
        <v>41</v>
      </c>
      <c r="B41" s="843"/>
      <c r="C41" s="843"/>
      <c r="D41" s="843"/>
      <c r="E41" s="841"/>
      <c r="F41" s="41">
        <f>ROUND(SUM(F39:F40),4)</f>
        <v>0.27339999999999998</v>
      </c>
      <c r="G41" s="111">
        <f>SUM(G37:G40)</f>
        <v>556.64</v>
      </c>
      <c r="H41" s="4">
        <f>ROUND(G34*F41,2)</f>
        <v>556.64</v>
      </c>
    </row>
    <row r="42" spans="1:8" x14ac:dyDescent="0.2">
      <c r="A42" s="835" t="s">
        <v>118</v>
      </c>
      <c r="B42" s="836"/>
      <c r="C42" s="836"/>
      <c r="D42" s="836"/>
      <c r="E42" s="836"/>
      <c r="F42" s="836"/>
      <c r="G42" s="837"/>
      <c r="H42" s="4">
        <f>SUM(G41,G34)</f>
        <v>2592.63</v>
      </c>
    </row>
    <row r="43" spans="1:8" x14ac:dyDescent="0.2">
      <c r="A43" s="42" t="s">
        <v>28</v>
      </c>
      <c r="B43" s="838" t="s">
        <v>42</v>
      </c>
      <c r="C43" s="839"/>
      <c r="D43" s="839"/>
      <c r="E43" s="869"/>
      <c r="F43" s="43">
        <v>0.2</v>
      </c>
      <c r="G43" s="22">
        <f>ROUND((G$34)*F43,2)</f>
        <v>407.2</v>
      </c>
      <c r="H43" s="4"/>
    </row>
    <row r="44" spans="1:8" x14ac:dyDescent="0.2">
      <c r="A44" s="36" t="s">
        <v>29</v>
      </c>
      <c r="B44" s="852" t="s">
        <v>43</v>
      </c>
      <c r="C44" s="853"/>
      <c r="D44" s="853"/>
      <c r="E44" s="866"/>
      <c r="F44" s="105">
        <v>2.5000000000000001E-2</v>
      </c>
      <c r="G44" s="112">
        <f>ROUND((G$34)*F44,2)</f>
        <v>50.9</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30.54</v>
      </c>
      <c r="H46" s="4"/>
    </row>
    <row r="47" spans="1:8" x14ac:dyDescent="0.2">
      <c r="A47" s="36" t="s">
        <v>32</v>
      </c>
      <c r="B47" s="852" t="s">
        <v>46</v>
      </c>
      <c r="C47" s="853"/>
      <c r="D47" s="853"/>
      <c r="E47" s="866"/>
      <c r="F47" s="105">
        <v>0.01</v>
      </c>
      <c r="G47" s="112">
        <f t="shared" si="0"/>
        <v>20.36</v>
      </c>
      <c r="H47" s="4"/>
    </row>
    <row r="48" spans="1:8" x14ac:dyDescent="0.2">
      <c r="A48" s="36" t="s">
        <v>34</v>
      </c>
      <c r="B48" s="852" t="s">
        <v>47</v>
      </c>
      <c r="C48" s="853"/>
      <c r="D48" s="853"/>
      <c r="E48" s="866"/>
      <c r="F48" s="105">
        <v>6.0000000000000001E-3</v>
      </c>
      <c r="G48" s="112">
        <f t="shared" si="0"/>
        <v>12.22</v>
      </c>
      <c r="H48" s="4"/>
    </row>
    <row r="49" spans="1:8" x14ac:dyDescent="0.2">
      <c r="A49" s="36" t="s">
        <v>48</v>
      </c>
      <c r="B49" s="852" t="s">
        <v>49</v>
      </c>
      <c r="C49" s="853"/>
      <c r="D49" s="853"/>
      <c r="E49" s="866"/>
      <c r="F49" s="105">
        <v>2E-3</v>
      </c>
      <c r="G49" s="112">
        <f t="shared" si="0"/>
        <v>4.07</v>
      </c>
      <c r="H49" s="4"/>
    </row>
    <row r="50" spans="1:8" x14ac:dyDescent="0.2">
      <c r="A50" s="107" t="s">
        <v>50</v>
      </c>
      <c r="B50" s="854" t="s">
        <v>51</v>
      </c>
      <c r="C50" s="855"/>
      <c r="D50" s="855"/>
      <c r="E50" s="867"/>
      <c r="F50" s="108">
        <v>0.08</v>
      </c>
      <c r="G50" s="112">
        <f t="shared" si="0"/>
        <v>162.88</v>
      </c>
      <c r="H50" s="4"/>
    </row>
    <row r="51" spans="1:8" x14ac:dyDescent="0.2">
      <c r="A51" s="842" t="s">
        <v>52</v>
      </c>
      <c r="B51" s="843"/>
      <c r="C51" s="843"/>
      <c r="D51" s="843"/>
      <c r="E51" s="841"/>
      <c r="F51" s="41">
        <f>SUM(F43:F50)</f>
        <v>0.33800000000000002</v>
      </c>
      <c r="G51" s="111">
        <f>SUM(G43:G50)</f>
        <v>688.17</v>
      </c>
      <c r="H51" s="4">
        <f>ROUND(G34*F51,2)</f>
        <v>688.16</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42</v>
      </c>
      <c r="G53" s="14">
        <f>IF(ROUND((E53*F53)-(G27*0.06),2)&lt;0,0,ROUND((E53*F53)-(G27*0.06),2))</f>
        <v>0</v>
      </c>
      <c r="H53" s="35"/>
    </row>
    <row r="54" spans="1:8" s="34" customFormat="1" x14ac:dyDescent="0.2">
      <c r="A54" s="36" t="s">
        <v>55</v>
      </c>
      <c r="B54" s="858" t="s">
        <v>56</v>
      </c>
      <c r="C54" s="859"/>
      <c r="D54" s="859"/>
      <c r="E54" s="113">
        <f>(12.5-1.4)</f>
        <v>11.1</v>
      </c>
      <c r="F54" s="114">
        <v>21</v>
      </c>
      <c r="G54" s="102">
        <f>ROUND((E54*F54),2)</f>
        <v>233.1</v>
      </c>
      <c r="H54" s="35"/>
    </row>
    <row r="55" spans="1:8" s="34" customFormat="1" x14ac:dyDescent="0.2">
      <c r="A55" s="36" t="s">
        <v>57</v>
      </c>
      <c r="B55" s="858" t="s">
        <v>58</v>
      </c>
      <c r="C55" s="859"/>
      <c r="D55" s="859"/>
      <c r="E55" s="113">
        <f>138.6</f>
        <v>138.6</v>
      </c>
      <c r="F55" s="114">
        <v>1</v>
      </c>
      <c r="G55" s="102">
        <f>ROUND((E55*F55),2)</f>
        <v>138.6</v>
      </c>
      <c r="H55" s="35"/>
    </row>
    <row r="56" spans="1:8" s="34" customFormat="1" x14ac:dyDescent="0.2">
      <c r="A56" s="36" t="s">
        <v>30</v>
      </c>
      <c r="B56" s="858" t="s">
        <v>255</v>
      </c>
      <c r="C56" s="859"/>
      <c r="D56" s="859"/>
      <c r="E56" s="113">
        <v>34.94</v>
      </c>
      <c r="F56" s="114">
        <v>1</v>
      </c>
      <c r="G56" s="102">
        <f>ROUND((E56*F56),2)</f>
        <v>34.94</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217</v>
      </c>
      <c r="C58" s="859"/>
      <c r="D58" s="859"/>
      <c r="E58" s="113">
        <f>ROUND(((F18/220)*8)*1.5,2)</f>
        <v>94.49</v>
      </c>
      <c r="F58" s="114">
        <v>1</v>
      </c>
      <c r="G58" s="102">
        <f>ROUND((E58*F58)/12,2)</f>
        <v>7.87</v>
      </c>
      <c r="H58" s="35"/>
    </row>
    <row r="59" spans="1:8" s="34" customFormat="1" x14ac:dyDescent="0.2">
      <c r="A59" s="36" t="s">
        <v>34</v>
      </c>
      <c r="B59" s="864" t="s">
        <v>180</v>
      </c>
      <c r="C59" s="865"/>
      <c r="D59" s="865"/>
      <c r="E59" s="113">
        <f>9.31</f>
        <v>9.31</v>
      </c>
      <c r="F59" s="115">
        <v>1</v>
      </c>
      <c r="G59" s="116">
        <f>ROUND((E59*F59),2)</f>
        <v>9.31</v>
      </c>
      <c r="H59" s="35"/>
    </row>
    <row r="60" spans="1:8" s="34" customFormat="1" x14ac:dyDescent="0.2">
      <c r="A60" s="36" t="s">
        <v>48</v>
      </c>
      <c r="B60" s="858" t="s">
        <v>152</v>
      </c>
      <c r="C60" s="859"/>
      <c r="D60" s="859"/>
      <c r="E60" s="113">
        <v>0</v>
      </c>
      <c r="F60" s="114">
        <v>1</v>
      </c>
      <c r="G60" s="117">
        <f>ROUND((E60*F60),2)</f>
        <v>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423.82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556.64</v>
      </c>
      <c r="H65" s="4"/>
    </row>
    <row r="66" spans="1:8" x14ac:dyDescent="0.2">
      <c r="A66" s="119" t="s">
        <v>64</v>
      </c>
      <c r="B66" s="806" t="s">
        <v>128</v>
      </c>
      <c r="C66" s="807"/>
      <c r="D66" s="807"/>
      <c r="E66" s="807"/>
      <c r="F66" s="18">
        <f>F51</f>
        <v>0.33800000000000002</v>
      </c>
      <c r="G66" s="120">
        <f>G51</f>
        <v>688.17</v>
      </c>
      <c r="H66" s="4"/>
    </row>
    <row r="67" spans="1:8" x14ac:dyDescent="0.2">
      <c r="A67" s="119" t="s">
        <v>65</v>
      </c>
      <c r="B67" s="806" t="s">
        <v>66</v>
      </c>
      <c r="C67" s="807"/>
      <c r="D67" s="807"/>
      <c r="E67" s="807"/>
      <c r="F67" s="808"/>
      <c r="G67" s="120">
        <f>G63</f>
        <v>423.82</v>
      </c>
      <c r="H67" s="4"/>
    </row>
    <row r="68" spans="1:8" x14ac:dyDescent="0.2">
      <c r="A68" s="815" t="s">
        <v>67</v>
      </c>
      <c r="B68" s="816"/>
      <c r="C68" s="816"/>
      <c r="D68" s="816"/>
      <c r="E68" s="816"/>
      <c r="F68" s="817"/>
      <c r="G68" s="104">
        <f>SUM(G65:G67)</f>
        <v>1668.63</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EPI''s'!K17</f>
        <v>0</v>
      </c>
      <c r="F108" s="24">
        <v>1</v>
      </c>
      <c r="G108" s="102">
        <f>ROUND((E108*F108),2)</f>
        <v>0</v>
      </c>
      <c r="H108" s="4"/>
    </row>
    <row r="109" spans="1:8" s="34" customFormat="1" x14ac:dyDescent="0.2">
      <c r="A109" s="36" t="s">
        <v>29</v>
      </c>
      <c r="B109" s="846" t="str">
        <f>'Uniformes e EPI''s'!A19</f>
        <v>EPI's</v>
      </c>
      <c r="C109" s="801"/>
      <c r="D109" s="801"/>
      <c r="E109" s="44">
        <f>'Uniformes e EPI''s'!J39</f>
        <v>0</v>
      </c>
      <c r="F109" s="46">
        <v>1</v>
      </c>
      <c r="G109" s="102">
        <f>ROUND((E109*F109),2)</f>
        <v>0</v>
      </c>
      <c r="H109" s="35"/>
    </row>
    <row r="110" spans="1:8" s="34" customFormat="1" x14ac:dyDescent="0.2">
      <c r="A110" s="36" t="s">
        <v>30</v>
      </c>
      <c r="B110" s="800" t="s">
        <v>59</v>
      </c>
      <c r="C110" s="801"/>
      <c r="D110" s="801"/>
      <c r="E110" s="44">
        <v>0</v>
      </c>
      <c r="F110" s="47">
        <v>1</v>
      </c>
      <c r="G110" s="102">
        <f t="shared" ref="G110:G115" si="3">ROUND((E110*F110),2)</f>
        <v>0</v>
      </c>
      <c r="H110" s="35"/>
    </row>
    <row r="111" spans="1:8" s="34" customFormat="1" x14ac:dyDescent="0.2">
      <c r="A111" s="166" t="s">
        <v>31</v>
      </c>
      <c r="B111" s="800" t="s">
        <v>59</v>
      </c>
      <c r="C111" s="801"/>
      <c r="D111" s="801"/>
      <c r="E111" s="44">
        <v>0</v>
      </c>
      <c r="F111" s="47">
        <v>1</v>
      </c>
      <c r="G111" s="102">
        <f t="shared" si="3"/>
        <v>0</v>
      </c>
      <c r="H111" s="35"/>
    </row>
    <row r="112" spans="1:8" s="34" customFormat="1" x14ac:dyDescent="0.2">
      <c r="A112" s="36" t="s">
        <v>32</v>
      </c>
      <c r="B112" s="800" t="s">
        <v>59</v>
      </c>
      <c r="C112" s="801"/>
      <c r="D112" s="801"/>
      <c r="E112" s="44">
        <v>0</v>
      </c>
      <c r="F112" s="47">
        <v>1</v>
      </c>
      <c r="G112" s="102">
        <f t="shared" si="3"/>
        <v>0</v>
      </c>
      <c r="H112" s="35"/>
    </row>
    <row r="113" spans="1:8" s="34" customFormat="1" x14ac:dyDescent="0.2">
      <c r="A113" s="36" t="s">
        <v>34</v>
      </c>
      <c r="B113" s="800" t="s">
        <v>59</v>
      </c>
      <c r="C113" s="801"/>
      <c r="D113" s="801"/>
      <c r="E113" s="44">
        <v>0</v>
      </c>
      <c r="F113" s="47">
        <v>1</v>
      </c>
      <c r="G113" s="102">
        <f t="shared" si="3"/>
        <v>0</v>
      </c>
      <c r="H113" s="35"/>
    </row>
    <row r="114" spans="1:8" s="34" customFormat="1" x14ac:dyDescent="0.2">
      <c r="A114" s="166" t="s">
        <v>48</v>
      </c>
      <c r="B114" s="800" t="s">
        <v>59</v>
      </c>
      <c r="C114" s="801"/>
      <c r="D114" s="801"/>
      <c r="E114" s="44">
        <v>0</v>
      </c>
      <c r="F114" s="47">
        <v>1</v>
      </c>
      <c r="G114" s="102">
        <f t="shared" si="3"/>
        <v>0</v>
      </c>
      <c r="H114" s="35"/>
    </row>
    <row r="115" spans="1:8" s="34" customFormat="1" x14ac:dyDescent="0.2">
      <c r="A115" s="36" t="s">
        <v>50</v>
      </c>
      <c r="B115" s="847" t="s">
        <v>59</v>
      </c>
      <c r="C115" s="848"/>
      <c r="D115" s="848"/>
      <c r="E115" s="44">
        <v>0</v>
      </c>
      <c r="F115" s="47">
        <v>1</v>
      </c>
      <c r="G115" s="102">
        <f t="shared" si="3"/>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0.05</v>
      </c>
      <c r="G124" s="106">
        <f ca="1">ROUND(G$139*F124,2)</f>
        <v>194.98</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0.05</v>
      </c>
      <c r="G127" s="128">
        <f ca="1">SUM(G122:G126)</f>
        <v>194.98</v>
      </c>
      <c r="H127" s="4">
        <f ca="1">ROUND(G139*F127,2)</f>
        <v>194.98</v>
      </c>
    </row>
    <row r="128" spans="1:8" x14ac:dyDescent="0.2">
      <c r="A128" s="815" t="s">
        <v>104</v>
      </c>
      <c r="B128" s="816"/>
      <c r="C128" s="816"/>
      <c r="D128" s="816"/>
      <c r="E128" s="816"/>
      <c r="F128" s="23">
        <f>SUM(F119,F120,F127)</f>
        <v>0.05</v>
      </c>
      <c r="G128" s="124">
        <f ca="1">SUM(G119:G126)</f>
        <v>194.98</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2035.99</v>
      </c>
      <c r="H130" s="4"/>
    </row>
    <row r="131" spans="1:8" x14ac:dyDescent="0.2">
      <c r="A131" s="119" t="s">
        <v>29</v>
      </c>
      <c r="B131" s="806" t="s">
        <v>107</v>
      </c>
      <c r="C131" s="807"/>
      <c r="D131" s="807"/>
      <c r="E131" s="807"/>
      <c r="F131" s="808"/>
      <c r="G131" s="120">
        <f>G68</f>
        <v>1668.63</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3704.62</v>
      </c>
      <c r="H135" s="4"/>
    </row>
    <row r="136" spans="1:8" x14ac:dyDescent="0.2">
      <c r="A136" s="119" t="s">
        <v>34</v>
      </c>
      <c r="B136" s="812" t="s">
        <v>112</v>
      </c>
      <c r="C136" s="813"/>
      <c r="D136" s="813"/>
      <c r="E136" s="813"/>
      <c r="F136" s="814"/>
      <c r="G136" s="120">
        <f ca="1">G128</f>
        <v>194.98</v>
      </c>
      <c r="H136" s="4"/>
    </row>
    <row r="137" spans="1:8" x14ac:dyDescent="0.2">
      <c r="A137" s="815" t="s">
        <v>113</v>
      </c>
      <c r="B137" s="816"/>
      <c r="C137" s="816"/>
      <c r="D137" s="816"/>
      <c r="E137" s="816"/>
      <c r="F137" s="817"/>
      <c r="G137" s="104">
        <f ca="1">SUM(G135:G136)</f>
        <v>3899.6</v>
      </c>
      <c r="H137" s="4">
        <f ca="1">SUM(G130:G136)-G135</f>
        <v>3899.6</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3899.6</v>
      </c>
      <c r="H139" s="4"/>
    </row>
    <row r="140" spans="1:8" x14ac:dyDescent="0.2">
      <c r="A140" s="1300"/>
      <c r="B140" s="1301" t="s">
        <v>115</v>
      </c>
      <c r="C140" s="1301"/>
      <c r="D140" s="1301"/>
      <c r="E140" s="1301"/>
      <c r="F140" s="1302">
        <f>F21</f>
        <v>1</v>
      </c>
      <c r="G140" s="1303">
        <f ca="1">G139*F140</f>
        <v>3899.6</v>
      </c>
      <c r="H140" s="4"/>
    </row>
    <row r="141" spans="1:8" x14ac:dyDescent="0.2">
      <c r="F141" s="52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6"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487</v>
      </c>
      <c r="G7" s="913"/>
    </row>
    <row r="8" spans="1:8" ht="19.5" customHeight="1" x14ac:dyDescent="0.2">
      <c r="A8" s="917" t="s">
        <v>215</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t="s">
        <v>463</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409</v>
      </c>
      <c r="G16" s="894"/>
      <c r="H16" s="3"/>
    </row>
    <row r="17" spans="1:8" ht="14.1" customHeight="1" x14ac:dyDescent="0.2">
      <c r="A17" s="877" t="s">
        <v>21</v>
      </c>
      <c r="B17" s="878"/>
      <c r="C17" s="878"/>
      <c r="D17" s="878"/>
      <c r="E17" s="879"/>
      <c r="F17" s="893" t="s">
        <v>410</v>
      </c>
      <c r="G17" s="894"/>
      <c r="H17" s="3"/>
    </row>
    <row r="18" spans="1:8" ht="14.1" customHeight="1" x14ac:dyDescent="0.2">
      <c r="A18" s="877" t="s">
        <v>1</v>
      </c>
      <c r="B18" s="878"/>
      <c r="C18" s="878"/>
      <c r="D18" s="878"/>
      <c r="E18" s="879"/>
      <c r="F18" s="887">
        <v>1951.37</v>
      </c>
      <c r="G18" s="888"/>
    </row>
    <row r="19" spans="1:8" ht="14.1" customHeight="1" x14ac:dyDescent="0.2">
      <c r="A19" s="882" t="s">
        <v>8</v>
      </c>
      <c r="B19" s="883"/>
      <c r="C19" s="883"/>
      <c r="D19" s="883"/>
      <c r="E19" s="884"/>
      <c r="F19" s="889">
        <v>45717</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1</v>
      </c>
      <c r="G22" s="886"/>
    </row>
    <row r="23" spans="1:8" ht="12.75" customHeight="1" x14ac:dyDescent="0.2">
      <c r="A23" s="882" t="s">
        <v>25</v>
      </c>
      <c r="B23" s="883"/>
      <c r="C23" s="883"/>
      <c r="D23" s="883"/>
      <c r="E23" s="884"/>
      <c r="F23" s="895" t="s">
        <v>214</v>
      </c>
      <c r="G23" s="896"/>
    </row>
    <row r="24" spans="1:8" ht="21" customHeight="1" x14ac:dyDescent="0.2">
      <c r="A24" s="923" t="s">
        <v>483</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523" t="s">
        <v>27</v>
      </c>
      <c r="G26" s="99" t="s">
        <v>3</v>
      </c>
    </row>
    <row r="27" spans="1:8" s="34" customFormat="1" x14ac:dyDescent="0.2">
      <c r="A27" s="100" t="s">
        <v>28</v>
      </c>
      <c r="B27" s="872" t="s">
        <v>153</v>
      </c>
      <c r="C27" s="872"/>
      <c r="D27" s="872"/>
      <c r="E27" s="872"/>
      <c r="F27" s="101">
        <v>1</v>
      </c>
      <c r="G27" s="102">
        <f>F18*F27</f>
        <v>1951.37</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0.2</v>
      </c>
      <c r="G29" s="102">
        <f>ROUND(F15*F29,2)</f>
        <v>303.60000000000002</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2254.9699999999998</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187.84</v>
      </c>
      <c r="H37" s="53"/>
    </row>
    <row r="38" spans="1:8" x14ac:dyDescent="0.2">
      <c r="A38" s="107" t="s">
        <v>29</v>
      </c>
      <c r="B38" s="854" t="s">
        <v>157</v>
      </c>
      <c r="C38" s="855"/>
      <c r="D38" s="855"/>
      <c r="E38" s="867"/>
      <c r="F38" s="108">
        <f>ROUND((1/11)+(1/11)/3, 3)</f>
        <v>0.121</v>
      </c>
      <c r="G38" s="8">
        <f>ROUND(G$34*F38,2)</f>
        <v>272.85000000000002</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155.82</v>
      </c>
      <c r="H40" s="4"/>
    </row>
    <row r="41" spans="1:8" x14ac:dyDescent="0.2">
      <c r="A41" s="842" t="s">
        <v>41</v>
      </c>
      <c r="B41" s="843"/>
      <c r="C41" s="843"/>
      <c r="D41" s="843"/>
      <c r="E41" s="841"/>
      <c r="F41" s="41">
        <f>ROUND(SUM(F39:F40),4)</f>
        <v>0.27339999999999998</v>
      </c>
      <c r="G41" s="111">
        <f>SUM(G37:G40)</f>
        <v>616.51</v>
      </c>
      <c r="H41" s="4">
        <f>ROUND(G34*F41,2)</f>
        <v>616.51</v>
      </c>
    </row>
    <row r="42" spans="1:8" x14ac:dyDescent="0.2">
      <c r="A42" s="835" t="s">
        <v>118</v>
      </c>
      <c r="B42" s="836"/>
      <c r="C42" s="836"/>
      <c r="D42" s="836"/>
      <c r="E42" s="836"/>
      <c r="F42" s="836"/>
      <c r="G42" s="837"/>
      <c r="H42" s="4">
        <f>SUM(G41,G34)</f>
        <v>2871.48</v>
      </c>
    </row>
    <row r="43" spans="1:8" x14ac:dyDescent="0.2">
      <c r="A43" s="42" t="s">
        <v>28</v>
      </c>
      <c r="B43" s="838" t="s">
        <v>42</v>
      </c>
      <c r="C43" s="839"/>
      <c r="D43" s="839"/>
      <c r="E43" s="869"/>
      <c r="F43" s="43">
        <v>0.2</v>
      </c>
      <c r="G43" s="22">
        <f>ROUND((G$34)*F43,2)</f>
        <v>450.99</v>
      </c>
      <c r="H43" s="4"/>
    </row>
    <row r="44" spans="1:8" x14ac:dyDescent="0.2">
      <c r="A44" s="36" t="s">
        <v>29</v>
      </c>
      <c r="B44" s="852" t="s">
        <v>43</v>
      </c>
      <c r="C44" s="853"/>
      <c r="D44" s="853"/>
      <c r="E44" s="866"/>
      <c r="F44" s="105">
        <v>2.5000000000000001E-2</v>
      </c>
      <c r="G44" s="112">
        <f>ROUND((G$34)*F44,2)</f>
        <v>56.37</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33.82</v>
      </c>
      <c r="H46" s="4"/>
    </row>
    <row r="47" spans="1:8" x14ac:dyDescent="0.2">
      <c r="A47" s="36" t="s">
        <v>32</v>
      </c>
      <c r="B47" s="852" t="s">
        <v>46</v>
      </c>
      <c r="C47" s="853"/>
      <c r="D47" s="853"/>
      <c r="E47" s="866"/>
      <c r="F47" s="105">
        <v>0.01</v>
      </c>
      <c r="G47" s="112">
        <f t="shared" si="0"/>
        <v>22.55</v>
      </c>
      <c r="H47" s="4"/>
    </row>
    <row r="48" spans="1:8" x14ac:dyDescent="0.2">
      <c r="A48" s="36" t="s">
        <v>34</v>
      </c>
      <c r="B48" s="852" t="s">
        <v>47</v>
      </c>
      <c r="C48" s="853"/>
      <c r="D48" s="853"/>
      <c r="E48" s="866"/>
      <c r="F48" s="105">
        <v>6.0000000000000001E-3</v>
      </c>
      <c r="G48" s="112">
        <f t="shared" si="0"/>
        <v>13.53</v>
      </c>
      <c r="H48" s="4"/>
    </row>
    <row r="49" spans="1:8" x14ac:dyDescent="0.2">
      <c r="A49" s="36" t="s">
        <v>48</v>
      </c>
      <c r="B49" s="852" t="s">
        <v>49</v>
      </c>
      <c r="C49" s="853"/>
      <c r="D49" s="853"/>
      <c r="E49" s="866"/>
      <c r="F49" s="105">
        <v>2E-3</v>
      </c>
      <c r="G49" s="112">
        <f t="shared" si="0"/>
        <v>4.51</v>
      </c>
      <c r="H49" s="4"/>
    </row>
    <row r="50" spans="1:8" x14ac:dyDescent="0.2">
      <c r="A50" s="107" t="s">
        <v>50</v>
      </c>
      <c r="B50" s="854" t="s">
        <v>51</v>
      </c>
      <c r="C50" s="855"/>
      <c r="D50" s="855"/>
      <c r="E50" s="867"/>
      <c r="F50" s="108">
        <v>0.08</v>
      </c>
      <c r="G50" s="112">
        <f t="shared" si="0"/>
        <v>180.4</v>
      </c>
      <c r="H50" s="4"/>
    </row>
    <row r="51" spans="1:8" x14ac:dyDescent="0.2">
      <c r="A51" s="842" t="s">
        <v>52</v>
      </c>
      <c r="B51" s="843"/>
      <c r="C51" s="843"/>
      <c r="D51" s="843"/>
      <c r="E51" s="841"/>
      <c r="F51" s="41">
        <f>SUM(F43:F50)</f>
        <v>0.33800000000000002</v>
      </c>
      <c r="G51" s="111">
        <f>SUM(G43:G50)</f>
        <v>762.17</v>
      </c>
      <c r="H51" s="4">
        <f>ROUND(G34*F51,2)</f>
        <v>762.18</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42</v>
      </c>
      <c r="G53" s="14">
        <f>IF(ROUND((E53*F53)-(G27*0.06),2)&lt;0,0,ROUND((E53*F53)-(G27*0.06),2))</f>
        <v>0</v>
      </c>
      <c r="H53" s="35"/>
    </row>
    <row r="54" spans="1:8" s="34" customFormat="1" x14ac:dyDescent="0.2">
      <c r="A54" s="36" t="s">
        <v>55</v>
      </c>
      <c r="B54" s="858" t="s">
        <v>56</v>
      </c>
      <c r="C54" s="859"/>
      <c r="D54" s="859"/>
      <c r="E54" s="113">
        <f>(12.5-1.4)</f>
        <v>11.1</v>
      </c>
      <c r="F54" s="114">
        <v>21</v>
      </c>
      <c r="G54" s="102">
        <f>ROUND((E54*F54),2)</f>
        <v>233.1</v>
      </c>
      <c r="H54" s="35"/>
    </row>
    <row r="55" spans="1:8" s="34" customFormat="1" x14ac:dyDescent="0.2">
      <c r="A55" s="36" t="s">
        <v>57</v>
      </c>
      <c r="B55" s="858" t="s">
        <v>58</v>
      </c>
      <c r="C55" s="859"/>
      <c r="D55" s="859"/>
      <c r="E55" s="113">
        <f>138.6</f>
        <v>138.6</v>
      </c>
      <c r="F55" s="114">
        <v>1</v>
      </c>
      <c r="G55" s="102">
        <f>ROUND((E55*F55),2)</f>
        <v>138.6</v>
      </c>
      <c r="H55" s="35"/>
    </row>
    <row r="56" spans="1:8" s="34" customFormat="1" x14ac:dyDescent="0.2">
      <c r="A56" s="36" t="s">
        <v>30</v>
      </c>
      <c r="B56" s="858" t="s">
        <v>255</v>
      </c>
      <c r="C56" s="859"/>
      <c r="D56" s="859"/>
      <c r="E56" s="113">
        <v>34.94</v>
      </c>
      <c r="F56" s="114">
        <v>1</v>
      </c>
      <c r="G56" s="102">
        <f>ROUND((E56*F56),2)</f>
        <v>34.94</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217</v>
      </c>
      <c r="C58" s="859"/>
      <c r="D58" s="859"/>
      <c r="E58" s="113">
        <f>ROUND(((F18/220)*8)*1.5,2)</f>
        <v>106.44</v>
      </c>
      <c r="F58" s="114">
        <v>1</v>
      </c>
      <c r="G58" s="102">
        <f>ROUND((E58*F58)/12,2)</f>
        <v>8.8699999999999992</v>
      </c>
      <c r="H58" s="35"/>
    </row>
    <row r="59" spans="1:8" s="34" customFormat="1" x14ac:dyDescent="0.2">
      <c r="A59" s="36" t="s">
        <v>34</v>
      </c>
      <c r="B59" s="864" t="s">
        <v>180</v>
      </c>
      <c r="C59" s="865"/>
      <c r="D59" s="865"/>
      <c r="E59" s="113">
        <f>9.31</f>
        <v>9.31</v>
      </c>
      <c r="F59" s="115">
        <v>1</v>
      </c>
      <c r="G59" s="116">
        <f>ROUND((E59*F59),2)</f>
        <v>9.31</v>
      </c>
      <c r="H59" s="35"/>
    </row>
    <row r="60" spans="1:8" s="34" customFormat="1" x14ac:dyDescent="0.2">
      <c r="A60" s="36" t="s">
        <v>48</v>
      </c>
      <c r="B60" s="858" t="s">
        <v>152</v>
      </c>
      <c r="C60" s="859"/>
      <c r="D60" s="859"/>
      <c r="E60" s="113">
        <v>0</v>
      </c>
      <c r="F60" s="114">
        <v>1</v>
      </c>
      <c r="G60" s="117">
        <f>ROUND((E60*F60),2)</f>
        <v>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424.82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616.51</v>
      </c>
      <c r="H65" s="4"/>
    </row>
    <row r="66" spans="1:8" x14ac:dyDescent="0.2">
      <c r="A66" s="119" t="s">
        <v>64</v>
      </c>
      <c r="B66" s="806" t="s">
        <v>128</v>
      </c>
      <c r="C66" s="807"/>
      <c r="D66" s="807"/>
      <c r="E66" s="807"/>
      <c r="F66" s="18">
        <f>F51</f>
        <v>0.33800000000000002</v>
      </c>
      <c r="G66" s="120">
        <f>G51</f>
        <v>762.17</v>
      </c>
      <c r="H66" s="4"/>
    </row>
    <row r="67" spans="1:8" x14ac:dyDescent="0.2">
      <c r="A67" s="119" t="s">
        <v>65</v>
      </c>
      <c r="B67" s="806" t="s">
        <v>66</v>
      </c>
      <c r="C67" s="807"/>
      <c r="D67" s="807"/>
      <c r="E67" s="807"/>
      <c r="F67" s="808"/>
      <c r="G67" s="120">
        <f>G63</f>
        <v>424.82</v>
      </c>
      <c r="H67" s="4"/>
    </row>
    <row r="68" spans="1:8" x14ac:dyDescent="0.2">
      <c r="A68" s="815" t="s">
        <v>67</v>
      </c>
      <c r="B68" s="816"/>
      <c r="C68" s="816"/>
      <c r="D68" s="816"/>
      <c r="E68" s="816"/>
      <c r="F68" s="817"/>
      <c r="G68" s="104">
        <f>SUM(G65:G67)</f>
        <v>1803.5</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EPI''s'!K17</f>
        <v>0</v>
      </c>
      <c r="F108" s="24">
        <v>1</v>
      </c>
      <c r="G108" s="102">
        <f>ROUND((E108*F108),2)</f>
        <v>0</v>
      </c>
      <c r="H108" s="4"/>
    </row>
    <row r="109" spans="1:8" s="34" customFormat="1" x14ac:dyDescent="0.2">
      <c r="A109" s="36" t="s">
        <v>29</v>
      </c>
      <c r="B109" s="846" t="str">
        <f>'Uniformes e EPI''s'!A19</f>
        <v>EPI's</v>
      </c>
      <c r="C109" s="801"/>
      <c r="D109" s="801"/>
      <c r="E109" s="44">
        <f>'Uniformes e EPI''s'!J39</f>
        <v>0</v>
      </c>
      <c r="F109" s="46">
        <v>1</v>
      </c>
      <c r="G109" s="102">
        <f>ROUND((E109*F109),2)</f>
        <v>0</v>
      </c>
      <c r="H109" s="35"/>
    </row>
    <row r="110" spans="1:8" s="34" customFormat="1" x14ac:dyDescent="0.2">
      <c r="A110" s="36" t="s">
        <v>30</v>
      </c>
      <c r="B110" s="800" t="s">
        <v>59</v>
      </c>
      <c r="C110" s="801"/>
      <c r="D110" s="801"/>
      <c r="E110" s="44">
        <v>0</v>
      </c>
      <c r="F110" s="47">
        <v>1</v>
      </c>
      <c r="G110" s="102">
        <f t="shared" ref="G110:G115" si="3">ROUND((E110*F110),2)</f>
        <v>0</v>
      </c>
      <c r="H110" s="35"/>
    </row>
    <row r="111" spans="1:8" s="34" customFormat="1" x14ac:dyDescent="0.2">
      <c r="A111" s="166" t="s">
        <v>31</v>
      </c>
      <c r="B111" s="800" t="s">
        <v>59</v>
      </c>
      <c r="C111" s="801"/>
      <c r="D111" s="801"/>
      <c r="E111" s="44">
        <v>0</v>
      </c>
      <c r="F111" s="47">
        <v>1</v>
      </c>
      <c r="G111" s="102">
        <f t="shared" si="3"/>
        <v>0</v>
      </c>
      <c r="H111" s="35"/>
    </row>
    <row r="112" spans="1:8" s="34" customFormat="1" x14ac:dyDescent="0.2">
      <c r="A112" s="36" t="s">
        <v>32</v>
      </c>
      <c r="B112" s="800" t="s">
        <v>59</v>
      </c>
      <c r="C112" s="801"/>
      <c r="D112" s="801"/>
      <c r="E112" s="44">
        <v>0</v>
      </c>
      <c r="F112" s="47">
        <v>1</v>
      </c>
      <c r="G112" s="102">
        <f t="shared" si="3"/>
        <v>0</v>
      </c>
      <c r="H112" s="35"/>
    </row>
    <row r="113" spans="1:8" s="34" customFormat="1" x14ac:dyDescent="0.2">
      <c r="A113" s="36" t="s">
        <v>34</v>
      </c>
      <c r="B113" s="800" t="s">
        <v>59</v>
      </c>
      <c r="C113" s="801"/>
      <c r="D113" s="801"/>
      <c r="E113" s="44">
        <v>0</v>
      </c>
      <c r="F113" s="47">
        <v>1</v>
      </c>
      <c r="G113" s="102">
        <f t="shared" si="3"/>
        <v>0</v>
      </c>
      <c r="H113" s="35"/>
    </row>
    <row r="114" spans="1:8" s="34" customFormat="1" x14ac:dyDescent="0.2">
      <c r="A114" s="166" t="s">
        <v>48</v>
      </c>
      <c r="B114" s="800" t="s">
        <v>59</v>
      </c>
      <c r="C114" s="801"/>
      <c r="D114" s="801"/>
      <c r="E114" s="44">
        <v>0</v>
      </c>
      <c r="F114" s="47">
        <v>1</v>
      </c>
      <c r="G114" s="102">
        <f t="shared" si="3"/>
        <v>0</v>
      </c>
      <c r="H114" s="35"/>
    </row>
    <row r="115" spans="1:8" s="34" customFormat="1" x14ac:dyDescent="0.2">
      <c r="A115" s="36" t="s">
        <v>50</v>
      </c>
      <c r="B115" s="847" t="s">
        <v>59</v>
      </c>
      <c r="C115" s="848"/>
      <c r="D115" s="848"/>
      <c r="E115" s="44">
        <v>0</v>
      </c>
      <c r="F115" s="47">
        <v>1</v>
      </c>
      <c r="G115" s="102">
        <f t="shared" si="3"/>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0.05</v>
      </c>
      <c r="G124" s="106">
        <f ca="1">ROUND(G$139*F124,2)</f>
        <v>213.6</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0.05</v>
      </c>
      <c r="G127" s="128">
        <f ca="1">SUM(G122:G126)</f>
        <v>213.6</v>
      </c>
      <c r="H127" s="4">
        <f ca="1">ROUND(G139*F127,2)</f>
        <v>213.6</v>
      </c>
    </row>
    <row r="128" spans="1:8" x14ac:dyDescent="0.2">
      <c r="A128" s="815" t="s">
        <v>104</v>
      </c>
      <c r="B128" s="816"/>
      <c r="C128" s="816"/>
      <c r="D128" s="816"/>
      <c r="E128" s="816"/>
      <c r="F128" s="23">
        <f>SUM(F119,F120,F127)</f>
        <v>0.05</v>
      </c>
      <c r="G128" s="124">
        <f ca="1">SUM(G119:G126)</f>
        <v>213.6</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2254.9699999999998</v>
      </c>
      <c r="H130" s="4"/>
    </row>
    <row r="131" spans="1:8" x14ac:dyDescent="0.2">
      <c r="A131" s="119" t="s">
        <v>29</v>
      </c>
      <c r="B131" s="806" t="s">
        <v>107</v>
      </c>
      <c r="C131" s="807"/>
      <c r="D131" s="807"/>
      <c r="E131" s="807"/>
      <c r="F131" s="808"/>
      <c r="G131" s="120">
        <f>G68</f>
        <v>1803.5</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4058.47</v>
      </c>
      <c r="H135" s="4"/>
    </row>
    <row r="136" spans="1:8" x14ac:dyDescent="0.2">
      <c r="A136" s="119" t="s">
        <v>34</v>
      </c>
      <c r="B136" s="812" t="s">
        <v>112</v>
      </c>
      <c r="C136" s="813"/>
      <c r="D136" s="813"/>
      <c r="E136" s="813"/>
      <c r="F136" s="814"/>
      <c r="G136" s="120">
        <f ca="1">G128</f>
        <v>213.6</v>
      </c>
      <c r="H136" s="4"/>
    </row>
    <row r="137" spans="1:8" x14ac:dyDescent="0.2">
      <c r="A137" s="815" t="s">
        <v>113</v>
      </c>
      <c r="B137" s="816"/>
      <c r="C137" s="816"/>
      <c r="D137" s="816"/>
      <c r="E137" s="816"/>
      <c r="F137" s="817"/>
      <c r="G137" s="104">
        <f ca="1">SUM(G135:G136)</f>
        <v>4272.07</v>
      </c>
      <c r="H137" s="4">
        <f ca="1">SUM(G130:G136)-G135</f>
        <v>4272.07</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4272.07</v>
      </c>
      <c r="H139" s="4"/>
    </row>
    <row r="140" spans="1:8" x14ac:dyDescent="0.2">
      <c r="A140" s="1300"/>
      <c r="B140" s="1301" t="s">
        <v>115</v>
      </c>
      <c r="C140" s="1301"/>
      <c r="D140" s="1301"/>
      <c r="E140" s="1301"/>
      <c r="F140" s="1302">
        <f>F21</f>
        <v>1</v>
      </c>
      <c r="G140" s="1303">
        <f ca="1">G139*F140</f>
        <v>4272.07</v>
      </c>
      <c r="H140" s="4"/>
    </row>
    <row r="141" spans="1:8" x14ac:dyDescent="0.2">
      <c r="F141" s="52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94"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487</v>
      </c>
      <c r="G7" s="913"/>
    </row>
    <row r="8" spans="1:8" ht="19.5" customHeight="1" x14ac:dyDescent="0.2">
      <c r="A8" s="917" t="s">
        <v>215</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t="s">
        <v>463</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412</v>
      </c>
      <c r="G16" s="894"/>
      <c r="H16" s="3"/>
    </row>
    <row r="17" spans="1:8" ht="14.1" customHeight="1" x14ac:dyDescent="0.2">
      <c r="A17" s="877" t="s">
        <v>21</v>
      </c>
      <c r="B17" s="878"/>
      <c r="C17" s="878"/>
      <c r="D17" s="878"/>
      <c r="E17" s="879"/>
      <c r="F17" s="893" t="s">
        <v>410</v>
      </c>
      <c r="G17" s="894"/>
      <c r="H17" s="3"/>
    </row>
    <row r="18" spans="1:8" ht="14.1" customHeight="1" x14ac:dyDescent="0.2">
      <c r="A18" s="877" t="s">
        <v>1</v>
      </c>
      <c r="B18" s="878"/>
      <c r="C18" s="878"/>
      <c r="D18" s="878"/>
      <c r="E18" s="879"/>
      <c r="F18" s="887">
        <v>1692.55</v>
      </c>
      <c r="G18" s="888"/>
    </row>
    <row r="19" spans="1:8" ht="14.1" customHeight="1" x14ac:dyDescent="0.2">
      <c r="A19" s="882" t="s">
        <v>8</v>
      </c>
      <c r="B19" s="883"/>
      <c r="C19" s="883"/>
      <c r="D19" s="883"/>
      <c r="E19" s="884"/>
      <c r="F19" s="889">
        <v>45717</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1</v>
      </c>
      <c r="G22" s="886"/>
    </row>
    <row r="23" spans="1:8" ht="12.75" customHeight="1" x14ac:dyDescent="0.2">
      <c r="A23" s="882" t="s">
        <v>25</v>
      </c>
      <c r="B23" s="883"/>
      <c r="C23" s="883"/>
      <c r="D23" s="883"/>
      <c r="E23" s="884"/>
      <c r="F23" s="895" t="s">
        <v>214</v>
      </c>
      <c r="G23" s="896"/>
    </row>
    <row r="24" spans="1:8" ht="21" customHeight="1" x14ac:dyDescent="0.2">
      <c r="A24" s="923" t="s">
        <v>483</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523" t="s">
        <v>27</v>
      </c>
      <c r="G26" s="99" t="s">
        <v>3</v>
      </c>
    </row>
    <row r="27" spans="1:8" s="34" customFormat="1" x14ac:dyDescent="0.2">
      <c r="A27" s="100" t="s">
        <v>28</v>
      </c>
      <c r="B27" s="872" t="s">
        <v>153</v>
      </c>
      <c r="C27" s="872"/>
      <c r="D27" s="872"/>
      <c r="E27" s="872"/>
      <c r="F27" s="101">
        <v>1</v>
      </c>
      <c r="G27" s="102">
        <f>F18*F27</f>
        <v>1692.55</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0.2</v>
      </c>
      <c r="G29" s="102">
        <f>ROUND(F15*F29,2)</f>
        <v>303.60000000000002</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ROUND((ROUND((0*15.22),2)/52.5)*60,2)</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1996.15</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166.28</v>
      </c>
      <c r="H37" s="53"/>
    </row>
    <row r="38" spans="1:8" x14ac:dyDescent="0.2">
      <c r="A38" s="107" t="s">
        <v>29</v>
      </c>
      <c r="B38" s="854" t="s">
        <v>157</v>
      </c>
      <c r="C38" s="855"/>
      <c r="D38" s="855"/>
      <c r="E38" s="867"/>
      <c r="F38" s="108">
        <f>ROUND((1/11)+(1/11)/3, 3)</f>
        <v>0.121</v>
      </c>
      <c r="G38" s="8">
        <f>ROUND(G$34*F38,2)</f>
        <v>241.53</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137.93</v>
      </c>
      <c r="H40" s="4"/>
    </row>
    <row r="41" spans="1:8" x14ac:dyDescent="0.2">
      <c r="A41" s="842" t="s">
        <v>41</v>
      </c>
      <c r="B41" s="843"/>
      <c r="C41" s="843"/>
      <c r="D41" s="843"/>
      <c r="E41" s="841"/>
      <c r="F41" s="41">
        <f>ROUND(SUM(F39:F40),4)</f>
        <v>0.27339999999999998</v>
      </c>
      <c r="G41" s="111">
        <f>SUM(G37:G40)</f>
        <v>545.74</v>
      </c>
      <c r="H41" s="4">
        <f>ROUND(G34*F41,2)</f>
        <v>545.75</v>
      </c>
    </row>
    <row r="42" spans="1:8" x14ac:dyDescent="0.2">
      <c r="A42" s="835" t="s">
        <v>118</v>
      </c>
      <c r="B42" s="836"/>
      <c r="C42" s="836"/>
      <c r="D42" s="836"/>
      <c r="E42" s="836"/>
      <c r="F42" s="836"/>
      <c r="G42" s="837"/>
      <c r="H42" s="4">
        <f>SUM(G41,G34)</f>
        <v>2541.89</v>
      </c>
    </row>
    <row r="43" spans="1:8" x14ac:dyDescent="0.2">
      <c r="A43" s="42" t="s">
        <v>28</v>
      </c>
      <c r="B43" s="838" t="s">
        <v>42</v>
      </c>
      <c r="C43" s="839"/>
      <c r="D43" s="839"/>
      <c r="E43" s="869"/>
      <c r="F43" s="43">
        <v>0.2</v>
      </c>
      <c r="G43" s="22">
        <f>ROUND((G$34)*F43,2)</f>
        <v>399.23</v>
      </c>
      <c r="H43" s="4"/>
    </row>
    <row r="44" spans="1:8" x14ac:dyDescent="0.2">
      <c r="A44" s="36" t="s">
        <v>29</v>
      </c>
      <c r="B44" s="852" t="s">
        <v>43</v>
      </c>
      <c r="C44" s="853"/>
      <c r="D44" s="853"/>
      <c r="E44" s="866"/>
      <c r="F44" s="105">
        <v>2.5000000000000001E-2</v>
      </c>
      <c r="G44" s="112">
        <f>ROUND((G$34)*F44,2)</f>
        <v>49.9</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29.94</v>
      </c>
      <c r="H46" s="4"/>
    </row>
    <row r="47" spans="1:8" x14ac:dyDescent="0.2">
      <c r="A47" s="36" t="s">
        <v>32</v>
      </c>
      <c r="B47" s="852" t="s">
        <v>46</v>
      </c>
      <c r="C47" s="853"/>
      <c r="D47" s="853"/>
      <c r="E47" s="866"/>
      <c r="F47" s="105">
        <v>0.01</v>
      </c>
      <c r="G47" s="112">
        <f t="shared" si="0"/>
        <v>19.96</v>
      </c>
      <c r="H47" s="4"/>
    </row>
    <row r="48" spans="1:8" x14ac:dyDescent="0.2">
      <c r="A48" s="36" t="s">
        <v>34</v>
      </c>
      <c r="B48" s="852" t="s">
        <v>47</v>
      </c>
      <c r="C48" s="853"/>
      <c r="D48" s="853"/>
      <c r="E48" s="866"/>
      <c r="F48" s="105">
        <v>6.0000000000000001E-3</v>
      </c>
      <c r="G48" s="112">
        <f t="shared" si="0"/>
        <v>11.98</v>
      </c>
      <c r="H48" s="4"/>
    </row>
    <row r="49" spans="1:8" x14ac:dyDescent="0.2">
      <c r="A49" s="36" t="s">
        <v>48</v>
      </c>
      <c r="B49" s="852" t="s">
        <v>49</v>
      </c>
      <c r="C49" s="853"/>
      <c r="D49" s="853"/>
      <c r="E49" s="866"/>
      <c r="F49" s="105">
        <v>2E-3</v>
      </c>
      <c r="G49" s="112">
        <f t="shared" si="0"/>
        <v>3.99</v>
      </c>
      <c r="H49" s="4"/>
    </row>
    <row r="50" spans="1:8" x14ac:dyDescent="0.2">
      <c r="A50" s="107" t="s">
        <v>50</v>
      </c>
      <c r="B50" s="854" t="s">
        <v>51</v>
      </c>
      <c r="C50" s="855"/>
      <c r="D50" s="855"/>
      <c r="E50" s="867"/>
      <c r="F50" s="108">
        <v>0.08</v>
      </c>
      <c r="G50" s="112">
        <f t="shared" si="0"/>
        <v>159.69</v>
      </c>
      <c r="H50" s="4"/>
    </row>
    <row r="51" spans="1:8" x14ac:dyDescent="0.2">
      <c r="A51" s="842" t="s">
        <v>52</v>
      </c>
      <c r="B51" s="843"/>
      <c r="C51" s="843"/>
      <c r="D51" s="843"/>
      <c r="E51" s="841"/>
      <c r="F51" s="41">
        <f>SUM(F43:F50)</f>
        <v>0.33800000000000002</v>
      </c>
      <c r="G51" s="111">
        <f>SUM(G43:G50)</f>
        <v>674.69</v>
      </c>
      <c r="H51" s="4">
        <f>ROUND(G34*F51,2)</f>
        <v>674.7</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42</v>
      </c>
      <c r="G53" s="14">
        <f>IF(ROUND((E53*F53)-(G27*0.06),2)&lt;0,0,ROUND((E53*F53)-(G27*0.06),2))</f>
        <v>0</v>
      </c>
      <c r="H53" s="35"/>
    </row>
    <row r="54" spans="1:8" s="34" customFormat="1" x14ac:dyDescent="0.2">
      <c r="A54" s="36" t="s">
        <v>55</v>
      </c>
      <c r="B54" s="858" t="s">
        <v>56</v>
      </c>
      <c r="C54" s="859"/>
      <c r="D54" s="859"/>
      <c r="E54" s="113">
        <f>(12.5-1.4)</f>
        <v>11.1</v>
      </c>
      <c r="F54" s="114">
        <v>21</v>
      </c>
      <c r="G54" s="102">
        <f>ROUND((E54*F54),2)</f>
        <v>233.1</v>
      </c>
      <c r="H54" s="35"/>
    </row>
    <row r="55" spans="1:8" s="34" customFormat="1" x14ac:dyDescent="0.2">
      <c r="A55" s="36" t="s">
        <v>57</v>
      </c>
      <c r="B55" s="858" t="s">
        <v>58</v>
      </c>
      <c r="C55" s="859"/>
      <c r="D55" s="859"/>
      <c r="E55" s="113">
        <f>138.6</f>
        <v>138.6</v>
      </c>
      <c r="F55" s="114">
        <v>1</v>
      </c>
      <c r="G55" s="102">
        <f>ROUND((E55*F55),2)</f>
        <v>138.6</v>
      </c>
      <c r="H55" s="35"/>
    </row>
    <row r="56" spans="1:8" s="34" customFormat="1" x14ac:dyDescent="0.2">
      <c r="A56" s="36" t="s">
        <v>30</v>
      </c>
      <c r="B56" s="858" t="s">
        <v>255</v>
      </c>
      <c r="C56" s="859"/>
      <c r="D56" s="859"/>
      <c r="E56" s="113">
        <v>34.94</v>
      </c>
      <c r="F56" s="114">
        <v>1</v>
      </c>
      <c r="G56" s="102">
        <f>ROUND((E56*F56),2)</f>
        <v>34.94</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217</v>
      </c>
      <c r="C58" s="859"/>
      <c r="D58" s="859"/>
      <c r="E58" s="113">
        <f>ROUND(((F18/220)*8)*1.5,2)</f>
        <v>92.32</v>
      </c>
      <c r="F58" s="114">
        <v>1</v>
      </c>
      <c r="G58" s="102">
        <f>ROUND((E58*F58)/12,2)</f>
        <v>7.69</v>
      </c>
      <c r="H58" s="35"/>
    </row>
    <row r="59" spans="1:8" s="34" customFormat="1" x14ac:dyDescent="0.2">
      <c r="A59" s="36" t="s">
        <v>34</v>
      </c>
      <c r="B59" s="864" t="s">
        <v>180</v>
      </c>
      <c r="C59" s="865"/>
      <c r="D59" s="865"/>
      <c r="E59" s="113">
        <f>9.31</f>
        <v>9.31</v>
      </c>
      <c r="F59" s="115">
        <v>1</v>
      </c>
      <c r="G59" s="116">
        <f>ROUND((E59*F59),2)</f>
        <v>9.31</v>
      </c>
      <c r="H59" s="35"/>
    </row>
    <row r="60" spans="1:8" s="34" customFormat="1" x14ac:dyDescent="0.2">
      <c r="A60" s="36" t="s">
        <v>48</v>
      </c>
      <c r="B60" s="858" t="s">
        <v>152</v>
      </c>
      <c r="C60" s="859"/>
      <c r="D60" s="859"/>
      <c r="E60" s="113">
        <v>0</v>
      </c>
      <c r="F60" s="114">
        <v>1</v>
      </c>
      <c r="G60" s="117">
        <f>ROUND((E60*F60),2)</f>
        <v>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423.64</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545.74</v>
      </c>
      <c r="H65" s="4"/>
    </row>
    <row r="66" spans="1:8" x14ac:dyDescent="0.2">
      <c r="A66" s="119" t="s">
        <v>64</v>
      </c>
      <c r="B66" s="806" t="s">
        <v>128</v>
      </c>
      <c r="C66" s="807"/>
      <c r="D66" s="807"/>
      <c r="E66" s="807"/>
      <c r="F66" s="18">
        <f>F51</f>
        <v>0.33800000000000002</v>
      </c>
      <c r="G66" s="120">
        <f>G51</f>
        <v>674.69</v>
      </c>
      <c r="H66" s="4"/>
    </row>
    <row r="67" spans="1:8" x14ac:dyDescent="0.2">
      <c r="A67" s="119" t="s">
        <v>65</v>
      </c>
      <c r="B67" s="806" t="s">
        <v>66</v>
      </c>
      <c r="C67" s="807"/>
      <c r="D67" s="807"/>
      <c r="E67" s="807"/>
      <c r="F67" s="808"/>
      <c r="G67" s="120">
        <f>G63</f>
        <v>423.64</v>
      </c>
      <c r="H67" s="4"/>
    </row>
    <row r="68" spans="1:8" x14ac:dyDescent="0.2">
      <c r="A68" s="815" t="s">
        <v>67</v>
      </c>
      <c r="B68" s="816"/>
      <c r="C68" s="816"/>
      <c r="D68" s="816"/>
      <c r="E68" s="816"/>
      <c r="F68" s="817"/>
      <c r="G68" s="104">
        <f>SUM(G65:G67)</f>
        <v>1644.07</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EPI''s'!K17</f>
        <v>0</v>
      </c>
      <c r="F108" s="24">
        <v>1</v>
      </c>
      <c r="G108" s="102">
        <f>ROUND((E108*F108),2)</f>
        <v>0</v>
      </c>
      <c r="H108" s="4"/>
    </row>
    <row r="109" spans="1:8" s="34" customFormat="1" x14ac:dyDescent="0.2">
      <c r="A109" s="36" t="s">
        <v>29</v>
      </c>
      <c r="B109" s="846" t="str">
        <f>'Uniformes e EPI''s'!A19</f>
        <v>EPI's</v>
      </c>
      <c r="C109" s="801"/>
      <c r="D109" s="801"/>
      <c r="E109" s="44">
        <f>'Uniformes e EPI''s'!J39</f>
        <v>0</v>
      </c>
      <c r="F109" s="46">
        <v>1</v>
      </c>
      <c r="G109" s="102">
        <f>ROUND((E109*F109),2)</f>
        <v>0</v>
      </c>
      <c r="H109" s="35"/>
    </row>
    <row r="110" spans="1:8" s="34" customFormat="1" x14ac:dyDescent="0.2">
      <c r="A110" s="36" t="s">
        <v>30</v>
      </c>
      <c r="B110" s="800" t="s">
        <v>59</v>
      </c>
      <c r="C110" s="801"/>
      <c r="D110" s="801"/>
      <c r="E110" s="44">
        <v>0</v>
      </c>
      <c r="F110" s="47">
        <v>1</v>
      </c>
      <c r="G110" s="102">
        <f t="shared" ref="G110:G115" si="3">ROUND((E110*F110),2)</f>
        <v>0</v>
      </c>
      <c r="H110" s="35"/>
    </row>
    <row r="111" spans="1:8" s="34" customFormat="1" x14ac:dyDescent="0.2">
      <c r="A111" s="166" t="s">
        <v>31</v>
      </c>
      <c r="B111" s="800" t="s">
        <v>59</v>
      </c>
      <c r="C111" s="801"/>
      <c r="D111" s="801"/>
      <c r="E111" s="44">
        <v>0</v>
      </c>
      <c r="F111" s="47">
        <v>1</v>
      </c>
      <c r="G111" s="102">
        <f t="shared" si="3"/>
        <v>0</v>
      </c>
      <c r="H111" s="35"/>
    </row>
    <row r="112" spans="1:8" s="34" customFormat="1" x14ac:dyDescent="0.2">
      <c r="A112" s="36" t="s">
        <v>32</v>
      </c>
      <c r="B112" s="800" t="s">
        <v>59</v>
      </c>
      <c r="C112" s="801"/>
      <c r="D112" s="801"/>
      <c r="E112" s="44">
        <v>0</v>
      </c>
      <c r="F112" s="47">
        <v>1</v>
      </c>
      <c r="G112" s="102">
        <f t="shared" si="3"/>
        <v>0</v>
      </c>
      <c r="H112" s="35"/>
    </row>
    <row r="113" spans="1:8" s="34" customFormat="1" x14ac:dyDescent="0.2">
      <c r="A113" s="36" t="s">
        <v>34</v>
      </c>
      <c r="B113" s="800" t="s">
        <v>59</v>
      </c>
      <c r="C113" s="801"/>
      <c r="D113" s="801"/>
      <c r="E113" s="44">
        <v>0</v>
      </c>
      <c r="F113" s="47">
        <v>1</v>
      </c>
      <c r="G113" s="102">
        <f t="shared" si="3"/>
        <v>0</v>
      </c>
      <c r="H113" s="35"/>
    </row>
    <row r="114" spans="1:8" s="34" customFormat="1" x14ac:dyDescent="0.2">
      <c r="A114" s="166" t="s">
        <v>48</v>
      </c>
      <c r="B114" s="800" t="s">
        <v>59</v>
      </c>
      <c r="C114" s="801"/>
      <c r="D114" s="801"/>
      <c r="E114" s="44">
        <v>0</v>
      </c>
      <c r="F114" s="47">
        <v>1</v>
      </c>
      <c r="G114" s="102">
        <f t="shared" si="3"/>
        <v>0</v>
      </c>
      <c r="H114" s="35"/>
    </row>
    <row r="115" spans="1:8" s="34" customFormat="1" x14ac:dyDescent="0.2">
      <c r="A115" s="36" t="s">
        <v>50</v>
      </c>
      <c r="B115" s="847" t="s">
        <v>59</v>
      </c>
      <c r="C115" s="848"/>
      <c r="D115" s="848"/>
      <c r="E115" s="44">
        <v>0</v>
      </c>
      <c r="F115" s="47">
        <v>1</v>
      </c>
      <c r="G115" s="102">
        <f t="shared" si="3"/>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0.05</v>
      </c>
      <c r="G124" s="106">
        <f ca="1">ROUND(G$139*F124,2)</f>
        <v>191.59</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0.05</v>
      </c>
      <c r="G127" s="128">
        <f ca="1">SUM(G122:G126)</f>
        <v>191.59</v>
      </c>
      <c r="H127" s="4">
        <f ca="1">ROUND(G139*F127,2)</f>
        <v>191.59</v>
      </c>
    </row>
    <row r="128" spans="1:8" x14ac:dyDescent="0.2">
      <c r="A128" s="815" t="s">
        <v>104</v>
      </c>
      <c r="B128" s="816"/>
      <c r="C128" s="816"/>
      <c r="D128" s="816"/>
      <c r="E128" s="816"/>
      <c r="F128" s="23">
        <f>SUM(F119,F120,F127)</f>
        <v>0.05</v>
      </c>
      <c r="G128" s="124">
        <f ca="1">SUM(G119:G126)</f>
        <v>191.59</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1996.15</v>
      </c>
      <c r="H130" s="4"/>
    </row>
    <row r="131" spans="1:8" x14ac:dyDescent="0.2">
      <c r="A131" s="119" t="s">
        <v>29</v>
      </c>
      <c r="B131" s="806" t="s">
        <v>107</v>
      </c>
      <c r="C131" s="807"/>
      <c r="D131" s="807"/>
      <c r="E131" s="807"/>
      <c r="F131" s="808"/>
      <c r="G131" s="120">
        <f>G68</f>
        <v>1644.07</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3640.22</v>
      </c>
      <c r="H135" s="4"/>
    </row>
    <row r="136" spans="1:8" x14ac:dyDescent="0.2">
      <c r="A136" s="119" t="s">
        <v>34</v>
      </c>
      <c r="B136" s="812" t="s">
        <v>112</v>
      </c>
      <c r="C136" s="813"/>
      <c r="D136" s="813"/>
      <c r="E136" s="813"/>
      <c r="F136" s="814"/>
      <c r="G136" s="120">
        <f ca="1">G128</f>
        <v>191.59</v>
      </c>
      <c r="H136" s="4"/>
    </row>
    <row r="137" spans="1:8" x14ac:dyDescent="0.2">
      <c r="A137" s="815" t="s">
        <v>113</v>
      </c>
      <c r="B137" s="816"/>
      <c r="C137" s="816"/>
      <c r="D137" s="816"/>
      <c r="E137" s="816"/>
      <c r="F137" s="817"/>
      <c r="G137" s="104">
        <f ca="1">SUM(G135:G136)</f>
        <v>3831.81</v>
      </c>
      <c r="H137" s="4">
        <f ca="1">SUM(G130:G136)-G135</f>
        <v>3831.81</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3831.81</v>
      </c>
      <c r="H139" s="4"/>
    </row>
    <row r="140" spans="1:8" x14ac:dyDescent="0.2">
      <c r="A140" s="1300"/>
      <c r="B140" s="1301" t="s">
        <v>115</v>
      </c>
      <c r="C140" s="1301"/>
      <c r="D140" s="1301"/>
      <c r="E140" s="1301"/>
      <c r="F140" s="1302">
        <f>F21</f>
        <v>1</v>
      </c>
      <c r="G140" s="1303">
        <f ca="1">G139*F140</f>
        <v>3831.81</v>
      </c>
      <c r="H140" s="4"/>
    </row>
    <row r="141" spans="1:8" x14ac:dyDescent="0.2">
      <c r="F141" s="52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3" zoomScaleNormal="100" zoomScaleSheetLayoutView="100" workbookViewId="0">
      <selection activeCell="A10" sqref="B1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9" t="s">
        <v>14</v>
      </c>
      <c r="B1" s="899"/>
      <c r="C1" s="899"/>
      <c r="D1" s="899"/>
      <c r="E1" s="899"/>
      <c r="F1" s="899"/>
      <c r="G1" s="899"/>
    </row>
    <row r="2" spans="1:8" ht="18.75" customHeight="1" x14ac:dyDescent="0.2">
      <c r="A2" s="897" t="s">
        <v>422</v>
      </c>
      <c r="B2" s="898"/>
      <c r="C2" s="898"/>
      <c r="D2" s="2"/>
      <c r="E2" s="2"/>
      <c r="F2" s="900" t="s">
        <v>466</v>
      </c>
      <c r="G2" s="901"/>
    </row>
    <row r="3" spans="1:8" ht="18" customHeight="1" x14ac:dyDescent="0.2">
      <c r="A3" s="902" t="s">
        <v>392</v>
      </c>
      <c r="B3" s="903"/>
      <c r="C3" s="903"/>
      <c r="D3" s="903"/>
      <c r="E3" s="903"/>
      <c r="F3" s="903"/>
      <c r="G3" s="904"/>
    </row>
    <row r="4" spans="1:8" ht="18" customHeight="1" thickBot="1" x14ac:dyDescent="0.25">
      <c r="A4" s="905"/>
      <c r="B4" s="906"/>
      <c r="C4" s="906"/>
      <c r="D4" s="906"/>
      <c r="E4" s="906"/>
      <c r="F4" s="906"/>
      <c r="G4" s="907"/>
    </row>
    <row r="5" spans="1:8" ht="14.1" customHeight="1" x14ac:dyDescent="0.2">
      <c r="A5" s="908" t="s">
        <v>5</v>
      </c>
      <c r="B5" s="909"/>
      <c r="C5" s="909"/>
      <c r="D5" s="909"/>
      <c r="E5" s="909"/>
      <c r="F5" s="910"/>
      <c r="G5" s="911"/>
    </row>
    <row r="6" spans="1:8" x14ac:dyDescent="0.2">
      <c r="A6" s="882" t="s">
        <v>16</v>
      </c>
      <c r="B6" s="883"/>
      <c r="C6" s="883"/>
      <c r="D6" s="883"/>
      <c r="E6" s="884"/>
      <c r="F6" s="912"/>
      <c r="G6" s="913"/>
    </row>
    <row r="7" spans="1:8" ht="14.1" customHeight="1" x14ac:dyDescent="0.2">
      <c r="A7" s="882" t="s">
        <v>11</v>
      </c>
      <c r="B7" s="883"/>
      <c r="C7" s="883"/>
      <c r="D7" s="883"/>
      <c r="E7" s="884"/>
      <c r="F7" s="916" t="s">
        <v>487</v>
      </c>
      <c r="G7" s="913"/>
    </row>
    <row r="8" spans="1:8" ht="19.5" customHeight="1" x14ac:dyDescent="0.2">
      <c r="A8" s="917" t="s">
        <v>146</v>
      </c>
      <c r="B8" s="918"/>
      <c r="C8" s="918"/>
      <c r="D8" s="918"/>
      <c r="E8" s="918"/>
      <c r="F8" s="918"/>
      <c r="G8" s="919"/>
    </row>
    <row r="9" spans="1:8" ht="19.5" customHeight="1" x14ac:dyDescent="0.2">
      <c r="A9" s="920"/>
      <c r="B9" s="921"/>
      <c r="C9" s="921"/>
      <c r="D9" s="921"/>
      <c r="E9" s="921"/>
      <c r="F9" s="921"/>
      <c r="G9" s="922"/>
    </row>
    <row r="10" spans="1:8" ht="14.1" customHeight="1" x14ac:dyDescent="0.2">
      <c r="A10" s="877" t="s">
        <v>17</v>
      </c>
      <c r="B10" s="878"/>
      <c r="C10" s="878"/>
      <c r="D10" s="878"/>
      <c r="E10" s="879"/>
      <c r="F10" s="914">
        <v>2025</v>
      </c>
      <c r="G10" s="915"/>
    </row>
    <row r="11" spans="1:8" ht="14.1" customHeight="1" x14ac:dyDescent="0.2">
      <c r="A11" s="877" t="s">
        <v>18</v>
      </c>
      <c r="B11" s="878"/>
      <c r="C11" s="878"/>
      <c r="D11" s="878"/>
      <c r="E11" s="879"/>
      <c r="F11" s="914" t="s">
        <v>147</v>
      </c>
      <c r="G11" s="915"/>
    </row>
    <row r="12" spans="1:8" ht="14.1" customHeight="1" x14ac:dyDescent="0.2">
      <c r="A12" s="877" t="s">
        <v>19</v>
      </c>
      <c r="B12" s="878"/>
      <c r="C12" s="878"/>
      <c r="D12" s="878"/>
      <c r="E12" s="879"/>
      <c r="F12" s="914" t="s">
        <v>20</v>
      </c>
      <c r="G12" s="915"/>
    </row>
    <row r="13" spans="1:8" ht="14.1" customHeight="1" x14ac:dyDescent="0.2">
      <c r="A13" s="877" t="s">
        <v>10</v>
      </c>
      <c r="B13" s="878"/>
      <c r="C13" s="878"/>
      <c r="D13" s="878"/>
      <c r="E13" s="879"/>
      <c r="F13" s="914" t="s">
        <v>9</v>
      </c>
      <c r="G13" s="915"/>
    </row>
    <row r="14" spans="1:8" ht="14.1" customHeight="1" x14ac:dyDescent="0.2">
      <c r="A14" s="827" t="s">
        <v>6</v>
      </c>
      <c r="B14" s="828"/>
      <c r="C14" s="828"/>
      <c r="D14" s="828"/>
      <c r="E14" s="828"/>
      <c r="F14" s="829"/>
      <c r="G14" s="830"/>
    </row>
    <row r="15" spans="1:8" ht="14.1" customHeight="1" x14ac:dyDescent="0.2">
      <c r="A15" s="877" t="s">
        <v>7</v>
      </c>
      <c r="B15" s="878"/>
      <c r="C15" s="878"/>
      <c r="D15" s="878"/>
      <c r="E15" s="879"/>
      <c r="F15" s="891">
        <v>1518</v>
      </c>
      <c r="G15" s="892"/>
    </row>
    <row r="16" spans="1:8" ht="14.1" customHeight="1" x14ac:dyDescent="0.2">
      <c r="A16" s="877" t="s">
        <v>0</v>
      </c>
      <c r="B16" s="878"/>
      <c r="C16" s="878"/>
      <c r="D16" s="878"/>
      <c r="E16" s="879"/>
      <c r="F16" s="893" t="s">
        <v>484</v>
      </c>
      <c r="G16" s="894"/>
      <c r="H16" s="3"/>
    </row>
    <row r="17" spans="1:8" ht="14.1" customHeight="1" x14ac:dyDescent="0.2">
      <c r="A17" s="877" t="s">
        <v>21</v>
      </c>
      <c r="B17" s="878"/>
      <c r="C17" s="878"/>
      <c r="D17" s="878"/>
      <c r="E17" s="879"/>
      <c r="F17" s="893" t="s">
        <v>411</v>
      </c>
      <c r="G17" s="894"/>
      <c r="H17" s="3"/>
    </row>
    <row r="18" spans="1:8" ht="14.1" customHeight="1" x14ac:dyDescent="0.2">
      <c r="A18" s="877" t="s">
        <v>1</v>
      </c>
      <c r="B18" s="878"/>
      <c r="C18" s="878"/>
      <c r="D18" s="878"/>
      <c r="E18" s="879"/>
      <c r="F18" s="887">
        <v>2247.37</v>
      </c>
      <c r="G18" s="888"/>
    </row>
    <row r="19" spans="1:8" ht="14.1" customHeight="1" x14ac:dyDescent="0.2">
      <c r="A19" s="882" t="s">
        <v>8</v>
      </c>
      <c r="B19" s="883"/>
      <c r="C19" s="883"/>
      <c r="D19" s="883"/>
      <c r="E19" s="884"/>
      <c r="F19" s="889">
        <v>45658</v>
      </c>
      <c r="G19" s="890"/>
    </row>
    <row r="20" spans="1:8" ht="14.1" customHeight="1" x14ac:dyDescent="0.2">
      <c r="A20" s="877" t="s">
        <v>22</v>
      </c>
      <c r="B20" s="878"/>
      <c r="C20" s="878"/>
      <c r="D20" s="878"/>
      <c r="E20" s="879"/>
      <c r="F20" s="880" t="s">
        <v>140</v>
      </c>
      <c r="G20" s="881"/>
    </row>
    <row r="21" spans="1:8" ht="14.1" customHeight="1" x14ac:dyDescent="0.2">
      <c r="A21" s="882" t="s">
        <v>23</v>
      </c>
      <c r="B21" s="883"/>
      <c r="C21" s="883"/>
      <c r="D21" s="883"/>
      <c r="E21" s="884"/>
      <c r="F21" s="885">
        <v>1</v>
      </c>
      <c r="G21" s="886"/>
    </row>
    <row r="22" spans="1:8" ht="14.1" customHeight="1" x14ac:dyDescent="0.2">
      <c r="A22" s="882" t="s">
        <v>24</v>
      </c>
      <c r="B22" s="883"/>
      <c r="C22" s="883"/>
      <c r="D22" s="883"/>
      <c r="E22" s="884"/>
      <c r="F22" s="885">
        <v>1</v>
      </c>
      <c r="G22" s="886"/>
    </row>
    <row r="23" spans="1:8" ht="12.75" customHeight="1" x14ac:dyDescent="0.2">
      <c r="A23" s="882" t="s">
        <v>25</v>
      </c>
      <c r="B23" s="883"/>
      <c r="C23" s="883"/>
      <c r="D23" s="883"/>
      <c r="E23" s="884"/>
      <c r="F23" s="895" t="s">
        <v>214</v>
      </c>
      <c r="G23" s="896"/>
    </row>
    <row r="24" spans="1:8" ht="25.5" customHeight="1" x14ac:dyDescent="0.2">
      <c r="A24" s="923" t="s">
        <v>485</v>
      </c>
      <c r="B24" s="912"/>
      <c r="C24" s="912"/>
      <c r="D24" s="912"/>
      <c r="E24" s="912"/>
      <c r="F24" s="912"/>
      <c r="G24" s="913"/>
    </row>
    <row r="25" spans="1:8" x14ac:dyDescent="0.2">
      <c r="A25" s="827" t="s">
        <v>2</v>
      </c>
      <c r="B25" s="828"/>
      <c r="C25" s="828"/>
      <c r="D25" s="828"/>
      <c r="E25" s="828"/>
      <c r="F25" s="829"/>
      <c r="G25" s="830"/>
    </row>
    <row r="26" spans="1:8" x14ac:dyDescent="0.2">
      <c r="A26" s="98">
        <v>1</v>
      </c>
      <c r="B26" s="876" t="s">
        <v>26</v>
      </c>
      <c r="C26" s="876"/>
      <c r="D26" s="876"/>
      <c r="E26" s="876"/>
      <c r="F26" s="523" t="s">
        <v>27</v>
      </c>
      <c r="G26" s="99" t="s">
        <v>3</v>
      </c>
    </row>
    <row r="27" spans="1:8" s="34" customFormat="1" x14ac:dyDescent="0.2">
      <c r="A27" s="100" t="s">
        <v>28</v>
      </c>
      <c r="B27" s="872" t="s">
        <v>153</v>
      </c>
      <c r="C27" s="872"/>
      <c r="D27" s="872"/>
      <c r="E27" s="872"/>
      <c r="F27" s="101">
        <v>1</v>
      </c>
      <c r="G27" s="102">
        <f>F18*F27</f>
        <v>2247.37</v>
      </c>
      <c r="H27" s="55"/>
    </row>
    <row r="28" spans="1:8" s="34" customFormat="1" x14ac:dyDescent="0.2">
      <c r="A28" s="100" t="s">
        <v>29</v>
      </c>
      <c r="B28" s="870" t="s">
        <v>117</v>
      </c>
      <c r="C28" s="870"/>
      <c r="D28" s="870"/>
      <c r="E28" s="870"/>
      <c r="F28" s="103"/>
      <c r="G28" s="102">
        <f>ROUND(F18*F28,2)</f>
        <v>0</v>
      </c>
      <c r="H28" s="55"/>
    </row>
    <row r="29" spans="1:8" s="34" customFormat="1" x14ac:dyDescent="0.2">
      <c r="A29" s="100" t="s">
        <v>30</v>
      </c>
      <c r="B29" s="870" t="s">
        <v>15</v>
      </c>
      <c r="C29" s="870"/>
      <c r="D29" s="870"/>
      <c r="E29" s="870"/>
      <c r="F29" s="103">
        <v>0.4</v>
      </c>
      <c r="G29" s="102">
        <f>ROUND(F15*F29,2)</f>
        <v>607.20000000000005</v>
      </c>
      <c r="H29" s="55"/>
    </row>
    <row r="30" spans="1:8" s="34" customFormat="1" x14ac:dyDescent="0.2">
      <c r="A30" s="100" t="s">
        <v>31</v>
      </c>
      <c r="B30" s="870" t="s">
        <v>154</v>
      </c>
      <c r="C30" s="870"/>
      <c r="D30" s="870"/>
      <c r="E30" s="870"/>
      <c r="F30" s="103"/>
      <c r="G30" s="102">
        <f>ROUND(F18*F30,2)</f>
        <v>0</v>
      </c>
      <c r="H30" s="55"/>
    </row>
    <row r="31" spans="1:8" s="34" customFormat="1" x14ac:dyDescent="0.2">
      <c r="A31" s="100" t="s">
        <v>32</v>
      </c>
      <c r="B31" s="870" t="s">
        <v>33</v>
      </c>
      <c r="C31" s="870"/>
      <c r="D31" s="870"/>
      <c r="E31" s="870"/>
      <c r="F31" s="101">
        <f>ROUND((ROUND((3*22),2)/52.5)*60,2)*0</f>
        <v>0</v>
      </c>
      <c r="G31" s="102">
        <f>ROUND((F18/192*0.2)*F31,2)</f>
        <v>0</v>
      </c>
      <c r="H31" s="55"/>
    </row>
    <row r="32" spans="1:8" s="34" customFormat="1" x14ac:dyDescent="0.2">
      <c r="A32" s="100" t="s">
        <v>34</v>
      </c>
      <c r="B32" s="870" t="s">
        <v>155</v>
      </c>
      <c r="C32" s="870"/>
      <c r="D32" s="870"/>
      <c r="E32" s="870"/>
      <c r="F32" s="101">
        <f>ROUND(SUM(F31)/25*5,2)</f>
        <v>0</v>
      </c>
      <c r="G32" s="102">
        <f>ROUND((F18/192*0.2)*F32,2)</f>
        <v>0</v>
      </c>
      <c r="H32" s="55"/>
    </row>
    <row r="33" spans="1:8" s="34" customFormat="1" x14ac:dyDescent="0.2">
      <c r="A33" s="100" t="s">
        <v>48</v>
      </c>
      <c r="B33" s="870" t="s">
        <v>156</v>
      </c>
      <c r="C33" s="870"/>
      <c r="D33" s="870"/>
      <c r="E33" s="870"/>
      <c r="F33" s="103"/>
      <c r="G33" s="102">
        <v>0</v>
      </c>
    </row>
    <row r="34" spans="1:8" x14ac:dyDescent="0.2">
      <c r="A34" s="834" t="s">
        <v>35</v>
      </c>
      <c r="B34" s="817"/>
      <c r="C34" s="817"/>
      <c r="D34" s="817"/>
      <c r="E34" s="817"/>
      <c r="F34" s="871"/>
      <c r="G34" s="104">
        <f>SUM(G27:G33)</f>
        <v>2854.57</v>
      </c>
    </row>
    <row r="35" spans="1:8" x14ac:dyDescent="0.2">
      <c r="A35" s="827" t="s">
        <v>36</v>
      </c>
      <c r="B35" s="828"/>
      <c r="C35" s="828"/>
      <c r="D35" s="828"/>
      <c r="E35" s="828"/>
      <c r="F35" s="829"/>
      <c r="G35" s="830"/>
    </row>
    <row r="36" spans="1:8" x14ac:dyDescent="0.2">
      <c r="A36" s="835" t="s">
        <v>37</v>
      </c>
      <c r="B36" s="836"/>
      <c r="C36" s="836"/>
      <c r="D36" s="836"/>
      <c r="E36" s="836"/>
      <c r="F36" s="836"/>
      <c r="G36" s="837"/>
      <c r="H36" s="4"/>
    </row>
    <row r="37" spans="1:8" s="7" customFormat="1" x14ac:dyDescent="0.2">
      <c r="A37" s="36" t="s">
        <v>28</v>
      </c>
      <c r="B37" s="838" t="s">
        <v>38</v>
      </c>
      <c r="C37" s="839"/>
      <c r="D37" s="839"/>
      <c r="E37" s="869"/>
      <c r="F37" s="105">
        <f>ROUND((1/12),6)</f>
        <v>8.3299999999999999E-2</v>
      </c>
      <c r="G37" s="106">
        <f>ROUND(G$34*F37,2)</f>
        <v>237.79</v>
      </c>
      <c r="H37" s="53"/>
    </row>
    <row r="38" spans="1:8" x14ac:dyDescent="0.2">
      <c r="A38" s="107" t="s">
        <v>29</v>
      </c>
      <c r="B38" s="854" t="s">
        <v>157</v>
      </c>
      <c r="C38" s="855"/>
      <c r="D38" s="855"/>
      <c r="E38" s="867"/>
      <c r="F38" s="108">
        <f>ROUND((1/11)+(1/11)/3, 3)</f>
        <v>0.121</v>
      </c>
      <c r="G38" s="8">
        <f>ROUND(G$34*F38,2)</f>
        <v>345.4</v>
      </c>
      <c r="H38" s="4"/>
    </row>
    <row r="39" spans="1:8" x14ac:dyDescent="0.2">
      <c r="A39" s="109"/>
      <c r="B39" s="868" t="s">
        <v>39</v>
      </c>
      <c r="C39" s="868"/>
      <c r="D39" s="868"/>
      <c r="E39" s="868"/>
      <c r="F39" s="37">
        <f>SUM(F37:F38)</f>
        <v>0.20430000000000001</v>
      </c>
      <c r="G39" s="106"/>
      <c r="H39" s="4"/>
    </row>
    <row r="40" spans="1:8" x14ac:dyDescent="0.2">
      <c r="A40" s="110" t="s">
        <v>30</v>
      </c>
      <c r="B40" s="38" t="s">
        <v>40</v>
      </c>
      <c r="C40" s="39"/>
      <c r="D40" s="39"/>
      <c r="E40" s="39"/>
      <c r="F40" s="40">
        <f>ROUND((F51*F39),4)</f>
        <v>6.9099999999999995E-2</v>
      </c>
      <c r="G40" s="9">
        <f>ROUND(G$34*F40,2)</f>
        <v>197.25</v>
      </c>
      <c r="H40" s="4"/>
    </row>
    <row r="41" spans="1:8" x14ac:dyDescent="0.2">
      <c r="A41" s="842" t="s">
        <v>41</v>
      </c>
      <c r="B41" s="843"/>
      <c r="C41" s="843"/>
      <c r="D41" s="843"/>
      <c r="E41" s="841"/>
      <c r="F41" s="41">
        <f>ROUND(SUM(F39:F40),4)</f>
        <v>0.27339999999999998</v>
      </c>
      <c r="G41" s="111">
        <f>SUM(G37:G40)</f>
        <v>780.44</v>
      </c>
      <c r="H41" s="4">
        <f>ROUND(G34*F41,2)</f>
        <v>780.44</v>
      </c>
    </row>
    <row r="42" spans="1:8" x14ac:dyDescent="0.2">
      <c r="A42" s="835" t="s">
        <v>118</v>
      </c>
      <c r="B42" s="836"/>
      <c r="C42" s="836"/>
      <c r="D42" s="836"/>
      <c r="E42" s="836"/>
      <c r="F42" s="836"/>
      <c r="G42" s="837"/>
      <c r="H42" s="4">
        <f>SUM(G41,G34)</f>
        <v>3635.01</v>
      </c>
    </row>
    <row r="43" spans="1:8" x14ac:dyDescent="0.2">
      <c r="A43" s="42" t="s">
        <v>28</v>
      </c>
      <c r="B43" s="838" t="s">
        <v>42</v>
      </c>
      <c r="C43" s="839"/>
      <c r="D43" s="839"/>
      <c r="E43" s="869"/>
      <c r="F43" s="43">
        <v>0.2</v>
      </c>
      <c r="G43" s="22">
        <f>ROUND((G$34)*F43,2)</f>
        <v>570.91</v>
      </c>
      <c r="H43" s="4"/>
    </row>
    <row r="44" spans="1:8" x14ac:dyDescent="0.2">
      <c r="A44" s="36" t="s">
        <v>29</v>
      </c>
      <c r="B44" s="852" t="s">
        <v>43</v>
      </c>
      <c r="C44" s="853"/>
      <c r="D44" s="853"/>
      <c r="E44" s="866"/>
      <c r="F44" s="105">
        <v>2.5000000000000001E-2</v>
      </c>
      <c r="G44" s="112">
        <f>ROUND((G$34)*F44,2)</f>
        <v>71.36</v>
      </c>
      <c r="H44" s="4"/>
    </row>
    <row r="45" spans="1:8" x14ac:dyDescent="0.2">
      <c r="A45" s="36" t="s">
        <v>30</v>
      </c>
      <c r="B45" s="852" t="s">
        <v>44</v>
      </c>
      <c r="C45" s="853"/>
      <c r="D45" s="853"/>
      <c r="E45" s="866"/>
      <c r="F45" s="1262">
        <v>0</v>
      </c>
      <c r="G45" s="112">
        <f t="shared" ref="G45:G50" si="0">ROUND((G$34)*F45,2)</f>
        <v>0</v>
      </c>
      <c r="H45" s="4"/>
    </row>
    <row r="46" spans="1:8" x14ac:dyDescent="0.2">
      <c r="A46" s="36" t="s">
        <v>31</v>
      </c>
      <c r="B46" s="852" t="s">
        <v>45</v>
      </c>
      <c r="C46" s="853"/>
      <c r="D46" s="853"/>
      <c r="E46" s="866"/>
      <c r="F46" s="1305">
        <v>1.4999999999999999E-2</v>
      </c>
      <c r="G46" s="112">
        <f t="shared" si="0"/>
        <v>42.82</v>
      </c>
      <c r="H46" s="4"/>
    </row>
    <row r="47" spans="1:8" x14ac:dyDescent="0.2">
      <c r="A47" s="36" t="s">
        <v>32</v>
      </c>
      <c r="B47" s="852" t="s">
        <v>46</v>
      </c>
      <c r="C47" s="853"/>
      <c r="D47" s="853"/>
      <c r="E47" s="866"/>
      <c r="F47" s="105">
        <v>0.01</v>
      </c>
      <c r="G47" s="112">
        <f t="shared" si="0"/>
        <v>28.55</v>
      </c>
      <c r="H47" s="4"/>
    </row>
    <row r="48" spans="1:8" x14ac:dyDescent="0.2">
      <c r="A48" s="36" t="s">
        <v>34</v>
      </c>
      <c r="B48" s="852" t="s">
        <v>47</v>
      </c>
      <c r="C48" s="853"/>
      <c r="D48" s="853"/>
      <c r="E48" s="866"/>
      <c r="F48" s="105">
        <v>6.0000000000000001E-3</v>
      </c>
      <c r="G48" s="112">
        <f t="shared" si="0"/>
        <v>17.13</v>
      </c>
      <c r="H48" s="4"/>
    </row>
    <row r="49" spans="1:8" x14ac:dyDescent="0.2">
      <c r="A49" s="36" t="s">
        <v>48</v>
      </c>
      <c r="B49" s="852" t="s">
        <v>49</v>
      </c>
      <c r="C49" s="853"/>
      <c r="D49" s="853"/>
      <c r="E49" s="866"/>
      <c r="F49" s="105">
        <v>2E-3</v>
      </c>
      <c r="G49" s="112">
        <f t="shared" si="0"/>
        <v>5.71</v>
      </c>
      <c r="H49" s="4"/>
    </row>
    <row r="50" spans="1:8" x14ac:dyDescent="0.2">
      <c r="A50" s="107" t="s">
        <v>50</v>
      </c>
      <c r="B50" s="854" t="s">
        <v>51</v>
      </c>
      <c r="C50" s="855"/>
      <c r="D50" s="855"/>
      <c r="E50" s="867"/>
      <c r="F50" s="108">
        <v>0.08</v>
      </c>
      <c r="G50" s="112">
        <f t="shared" si="0"/>
        <v>228.37</v>
      </c>
      <c r="H50" s="4"/>
    </row>
    <row r="51" spans="1:8" x14ac:dyDescent="0.2">
      <c r="A51" s="842" t="s">
        <v>52</v>
      </c>
      <c r="B51" s="843"/>
      <c r="C51" s="843"/>
      <c r="D51" s="843"/>
      <c r="E51" s="841"/>
      <c r="F51" s="41">
        <f>SUM(F43:F50)</f>
        <v>0.33800000000000002</v>
      </c>
      <c r="G51" s="111">
        <f>SUM(G43:G50)</f>
        <v>964.85</v>
      </c>
      <c r="H51" s="4">
        <f>ROUND(G34*F51,2)</f>
        <v>964.84</v>
      </c>
    </row>
    <row r="52" spans="1:8" x14ac:dyDescent="0.2">
      <c r="A52" s="835" t="s">
        <v>53</v>
      </c>
      <c r="B52" s="836"/>
      <c r="C52" s="836"/>
      <c r="D52" s="836"/>
      <c r="E52" s="836"/>
      <c r="F52" s="836"/>
      <c r="G52" s="837"/>
      <c r="H52" s="4"/>
    </row>
    <row r="53" spans="1:8" s="34" customFormat="1" x14ac:dyDescent="0.2">
      <c r="A53" s="42" t="s">
        <v>28</v>
      </c>
      <c r="B53" s="860" t="s">
        <v>54</v>
      </c>
      <c r="C53" s="861"/>
      <c r="D53" s="861"/>
      <c r="E53" s="1264">
        <v>0</v>
      </c>
      <c r="F53" s="54">
        <v>52</v>
      </c>
      <c r="G53" s="14">
        <f>IF(ROUND((E53*F53)-(G27*0.06),2)&lt;0,0,ROUND((E53*F53)-(G27*0.06),2))</f>
        <v>0</v>
      </c>
      <c r="H53" s="35"/>
    </row>
    <row r="54" spans="1:8" s="34" customFormat="1" x14ac:dyDescent="0.2">
      <c r="A54" s="36" t="s">
        <v>55</v>
      </c>
      <c r="B54" s="858" t="s">
        <v>56</v>
      </c>
      <c r="C54" s="859"/>
      <c r="D54" s="859"/>
      <c r="E54" s="113">
        <f>20.76-1.39</f>
        <v>19.37</v>
      </c>
      <c r="F54" s="114">
        <v>26</v>
      </c>
      <c r="G54" s="102">
        <f>ROUND((E54*F54),2)</f>
        <v>503.62</v>
      </c>
      <c r="H54" s="35"/>
    </row>
    <row r="55" spans="1:8" s="34" customFormat="1" x14ac:dyDescent="0.2">
      <c r="A55" s="36" t="s">
        <v>57</v>
      </c>
      <c r="B55" s="858" t="s">
        <v>58</v>
      </c>
      <c r="C55" s="859"/>
      <c r="D55" s="859"/>
      <c r="E55" s="113">
        <v>144.68</v>
      </c>
      <c r="F55" s="114">
        <v>1</v>
      </c>
      <c r="G55" s="102">
        <f>ROUND((E55*F55),2)</f>
        <v>144.68</v>
      </c>
      <c r="H55" s="35"/>
    </row>
    <row r="56" spans="1:8" s="34" customFormat="1" x14ac:dyDescent="0.2">
      <c r="A56" s="36" t="s">
        <v>30</v>
      </c>
      <c r="B56" s="858" t="s">
        <v>149</v>
      </c>
      <c r="C56" s="859"/>
      <c r="D56" s="859"/>
      <c r="E56" s="113">
        <v>35.33</v>
      </c>
      <c r="F56" s="114">
        <v>1</v>
      </c>
      <c r="G56" s="102">
        <f>ROUND((E56*F56),2)</f>
        <v>35.33</v>
      </c>
      <c r="H56" s="35"/>
    </row>
    <row r="57" spans="1:8" s="34" customFormat="1" x14ac:dyDescent="0.2">
      <c r="A57" s="36" t="s">
        <v>31</v>
      </c>
      <c r="B57" s="858" t="s">
        <v>179</v>
      </c>
      <c r="C57" s="859"/>
      <c r="D57" s="859"/>
      <c r="E57" s="1264">
        <f>ROUND((F18*30%)*5%,2)*0</f>
        <v>0</v>
      </c>
      <c r="F57" s="114">
        <v>1</v>
      </c>
      <c r="G57" s="102">
        <f>ROUND((E57*F57),2)</f>
        <v>0</v>
      </c>
      <c r="H57" s="35"/>
    </row>
    <row r="58" spans="1:8" s="34" customFormat="1" x14ac:dyDescent="0.2">
      <c r="A58" s="36" t="s">
        <v>32</v>
      </c>
      <c r="B58" s="858" t="s">
        <v>150</v>
      </c>
      <c r="C58" s="859"/>
      <c r="D58" s="859"/>
      <c r="E58" s="113">
        <f>20.76</f>
        <v>20.76</v>
      </c>
      <c r="F58" s="114">
        <v>1</v>
      </c>
      <c r="G58" s="102">
        <f>ROUND((E58*F58)/12,2)</f>
        <v>1.73</v>
      </c>
      <c r="H58" s="35"/>
    </row>
    <row r="59" spans="1:8" s="34" customFormat="1" x14ac:dyDescent="0.2">
      <c r="A59" s="36" t="s">
        <v>34</v>
      </c>
      <c r="B59" s="864" t="s">
        <v>180</v>
      </c>
      <c r="C59" s="865"/>
      <c r="D59" s="865"/>
      <c r="E59" s="113">
        <f>15.96</f>
        <v>15.96</v>
      </c>
      <c r="F59" s="115">
        <v>1</v>
      </c>
      <c r="G59" s="116">
        <f>ROUND((E59*F59),2)</f>
        <v>15.96</v>
      </c>
      <c r="H59" s="35"/>
    </row>
    <row r="60" spans="1:8" s="34" customFormat="1" x14ac:dyDescent="0.2">
      <c r="A60" s="36" t="s">
        <v>48</v>
      </c>
      <c r="B60" s="858" t="s">
        <v>254</v>
      </c>
      <c r="C60" s="859"/>
      <c r="D60" s="859"/>
      <c r="E60" s="113">
        <v>300</v>
      </c>
      <c r="F60" s="114">
        <v>1</v>
      </c>
      <c r="G60" s="102">
        <f>ROUND((E60*F60),2)</f>
        <v>300</v>
      </c>
      <c r="H60" s="35"/>
    </row>
    <row r="61" spans="1:8" s="34" customFormat="1" x14ac:dyDescent="0.2">
      <c r="A61" s="100" t="s">
        <v>50</v>
      </c>
      <c r="B61" s="858" t="s">
        <v>152</v>
      </c>
      <c r="C61" s="859"/>
      <c r="D61" s="859"/>
      <c r="E61" s="113">
        <v>0</v>
      </c>
      <c r="F61" s="114">
        <v>1</v>
      </c>
      <c r="G61" s="117">
        <f>ROUND((E61*F61),2)</f>
        <v>0</v>
      </c>
      <c r="H61" s="35"/>
    </row>
    <row r="62" spans="1:8" s="34" customFormat="1" x14ac:dyDescent="0.2">
      <c r="A62" s="36" t="s">
        <v>151</v>
      </c>
      <c r="B62" s="862" t="s">
        <v>152</v>
      </c>
      <c r="C62" s="863"/>
      <c r="D62" s="863"/>
      <c r="E62" s="118">
        <v>0</v>
      </c>
      <c r="F62" s="114">
        <v>1</v>
      </c>
      <c r="G62" s="102">
        <v>0</v>
      </c>
      <c r="H62" s="35"/>
    </row>
    <row r="63" spans="1:8" x14ac:dyDescent="0.2">
      <c r="A63" s="815" t="s">
        <v>60</v>
      </c>
      <c r="B63" s="816"/>
      <c r="C63" s="816"/>
      <c r="D63" s="816"/>
      <c r="E63" s="816"/>
      <c r="F63" s="817"/>
      <c r="G63" s="104">
        <f>SUM(G53:G62)</f>
        <v>1001.32</v>
      </c>
      <c r="H63" s="4"/>
    </row>
    <row r="64" spans="1:8" x14ac:dyDescent="0.2">
      <c r="A64" s="827" t="s">
        <v>61</v>
      </c>
      <c r="B64" s="828"/>
      <c r="C64" s="828"/>
      <c r="D64" s="828"/>
      <c r="E64" s="828"/>
      <c r="F64" s="829"/>
      <c r="G64" s="830"/>
      <c r="H64" s="4"/>
    </row>
    <row r="65" spans="1:8" x14ac:dyDescent="0.2">
      <c r="A65" s="15" t="s">
        <v>62</v>
      </c>
      <c r="B65" s="831" t="s">
        <v>63</v>
      </c>
      <c r="C65" s="832"/>
      <c r="D65" s="832"/>
      <c r="E65" s="832"/>
      <c r="F65" s="16">
        <f>F41</f>
        <v>0.27339999999999998</v>
      </c>
      <c r="G65" s="17">
        <f>G41</f>
        <v>780.44</v>
      </c>
      <c r="H65" s="4"/>
    </row>
    <row r="66" spans="1:8" x14ac:dyDescent="0.2">
      <c r="A66" s="119" t="s">
        <v>64</v>
      </c>
      <c r="B66" s="806" t="s">
        <v>128</v>
      </c>
      <c r="C66" s="807"/>
      <c r="D66" s="807"/>
      <c r="E66" s="807"/>
      <c r="F66" s="18">
        <f>F51</f>
        <v>0.33800000000000002</v>
      </c>
      <c r="G66" s="120">
        <f>G51</f>
        <v>964.85</v>
      </c>
      <c r="H66" s="4"/>
    </row>
    <row r="67" spans="1:8" x14ac:dyDescent="0.2">
      <c r="A67" s="119" t="s">
        <v>65</v>
      </c>
      <c r="B67" s="806" t="s">
        <v>66</v>
      </c>
      <c r="C67" s="807"/>
      <c r="D67" s="807"/>
      <c r="E67" s="807"/>
      <c r="F67" s="808"/>
      <c r="G67" s="120">
        <f>G63</f>
        <v>1001.32</v>
      </c>
      <c r="H67" s="4"/>
    </row>
    <row r="68" spans="1:8" x14ac:dyDescent="0.2">
      <c r="A68" s="815" t="s">
        <v>67</v>
      </c>
      <c r="B68" s="816"/>
      <c r="C68" s="816"/>
      <c r="D68" s="816"/>
      <c r="E68" s="816"/>
      <c r="F68" s="817"/>
      <c r="G68" s="104">
        <f>SUM(G65:G67)</f>
        <v>2746.61</v>
      </c>
      <c r="H68" s="4"/>
    </row>
    <row r="69" spans="1:8" x14ac:dyDescent="0.2">
      <c r="A69" s="827" t="s">
        <v>68</v>
      </c>
      <c r="B69" s="828"/>
      <c r="C69" s="828"/>
      <c r="D69" s="828"/>
      <c r="E69" s="828"/>
      <c r="F69" s="829"/>
      <c r="G69" s="830"/>
      <c r="H69" s="4"/>
    </row>
    <row r="70" spans="1:8" s="21" customFormat="1" x14ac:dyDescent="0.2">
      <c r="A70" s="98">
        <v>3</v>
      </c>
      <c r="B70" s="19" t="s">
        <v>69</v>
      </c>
      <c r="C70" s="19"/>
      <c r="D70" s="19"/>
      <c r="E70" s="19"/>
      <c r="F70" s="19"/>
      <c r="G70" s="20"/>
      <c r="H70" s="4"/>
    </row>
    <row r="71" spans="1:8" x14ac:dyDescent="0.2">
      <c r="A71" s="11" t="s">
        <v>28</v>
      </c>
      <c r="B71" s="821" t="s">
        <v>70</v>
      </c>
      <c r="C71" s="822"/>
      <c r="D71" s="822"/>
      <c r="E71" s="822"/>
      <c r="F71" s="1266">
        <f>ROUND((1/12)*0.05,4)*0</f>
        <v>0</v>
      </c>
      <c r="G71" s="22">
        <f t="shared" ref="G71:G76" si="1">ROUND(G$34*F71,2)</f>
        <v>0</v>
      </c>
      <c r="H71" s="4"/>
    </row>
    <row r="72" spans="1:8" x14ac:dyDescent="0.2">
      <c r="A72" s="5" t="s">
        <v>29</v>
      </c>
      <c r="B72" s="800" t="s">
        <v>71</v>
      </c>
      <c r="C72" s="801"/>
      <c r="D72" s="801"/>
      <c r="E72" s="801"/>
      <c r="F72" s="1268">
        <f>ROUND((F71*F50),4)*0</f>
        <v>0</v>
      </c>
      <c r="G72" s="112">
        <f t="shared" si="1"/>
        <v>0</v>
      </c>
      <c r="H72" s="4"/>
    </row>
    <row r="73" spans="1:8" x14ac:dyDescent="0.2">
      <c r="A73" s="5" t="s">
        <v>30</v>
      </c>
      <c r="B73" s="800" t="s">
        <v>134</v>
      </c>
      <c r="C73" s="801"/>
      <c r="D73" s="801"/>
      <c r="E73" s="801"/>
      <c r="F73" s="1268">
        <f>ROUND((0.08*0.4*0.9)*(1+0.09+0.09+0.3),2)*0</f>
        <v>0</v>
      </c>
      <c r="G73" s="112">
        <f t="shared" si="1"/>
        <v>0</v>
      </c>
      <c r="H73" s="4"/>
    </row>
    <row r="74" spans="1:8" x14ac:dyDescent="0.2">
      <c r="A74" s="5" t="s">
        <v>31</v>
      </c>
      <c r="B74" s="800" t="s">
        <v>72</v>
      </c>
      <c r="C74" s="801"/>
      <c r="D74" s="801"/>
      <c r="E74" s="801"/>
      <c r="F74" s="1268">
        <f>ROUND(100%/30*7/12*100%,4)*0</f>
        <v>0</v>
      </c>
      <c r="G74" s="112">
        <f t="shared" si="1"/>
        <v>0</v>
      </c>
      <c r="H74" s="4"/>
    </row>
    <row r="75" spans="1:8" s="3" customFormat="1" x14ac:dyDescent="0.2">
      <c r="A75" s="5" t="s">
        <v>32</v>
      </c>
      <c r="B75" s="800" t="s">
        <v>119</v>
      </c>
      <c r="C75" s="801"/>
      <c r="D75" s="801"/>
      <c r="E75" s="801"/>
      <c r="F75" s="121">
        <f>ROUND(F74*F51,4)</f>
        <v>0</v>
      </c>
      <c r="G75" s="112">
        <f t="shared" si="1"/>
        <v>0</v>
      </c>
      <c r="H75" s="4"/>
    </row>
    <row r="76" spans="1:8" x14ac:dyDescent="0.2">
      <c r="A76" s="5" t="s">
        <v>34</v>
      </c>
      <c r="B76" s="856" t="s">
        <v>135</v>
      </c>
      <c r="C76" s="857"/>
      <c r="D76" s="857"/>
      <c r="E76" s="857"/>
      <c r="F76" s="122">
        <v>0</v>
      </c>
      <c r="G76" s="123">
        <f t="shared" si="1"/>
        <v>0</v>
      </c>
      <c r="H76" s="4"/>
    </row>
    <row r="77" spans="1:8" x14ac:dyDescent="0.2">
      <c r="A77" s="815" t="s">
        <v>73</v>
      </c>
      <c r="B77" s="816"/>
      <c r="C77" s="816"/>
      <c r="D77" s="816"/>
      <c r="E77" s="816"/>
      <c r="F77" s="23">
        <f>SUM(F71:F76)</f>
        <v>0</v>
      </c>
      <c r="G77" s="124">
        <f>SUM(G71:G76)</f>
        <v>0</v>
      </c>
      <c r="H77" s="4">
        <f>ROUND(G34*F77,2)</f>
        <v>0</v>
      </c>
    </row>
    <row r="78" spans="1:8" x14ac:dyDescent="0.2">
      <c r="A78" s="827" t="s">
        <v>74</v>
      </c>
      <c r="B78" s="828"/>
      <c r="C78" s="828"/>
      <c r="D78" s="828"/>
      <c r="E78" s="828"/>
      <c r="F78" s="829"/>
      <c r="G78" s="830"/>
      <c r="H78" s="4"/>
    </row>
    <row r="79" spans="1:8" s="21" customFormat="1" x14ac:dyDescent="0.2">
      <c r="A79" s="835" t="s">
        <v>120</v>
      </c>
      <c r="B79" s="836"/>
      <c r="C79" s="836"/>
      <c r="D79" s="836"/>
      <c r="E79" s="836"/>
      <c r="F79" s="836"/>
      <c r="G79" s="837"/>
      <c r="H79" s="4"/>
    </row>
    <row r="80" spans="1:8" x14ac:dyDescent="0.2">
      <c r="A80" s="42" t="s">
        <v>28</v>
      </c>
      <c r="B80" s="838" t="s">
        <v>181</v>
      </c>
      <c r="C80" s="839"/>
      <c r="D80" s="839"/>
      <c r="E80" s="839"/>
      <c r="F80" s="43">
        <v>0</v>
      </c>
      <c r="G80" s="22">
        <f t="shared" ref="G80:G85" si="2">ROUND(G$34*F80,2)</f>
        <v>0</v>
      </c>
      <c r="H80" s="4"/>
    </row>
    <row r="81" spans="1:8" x14ac:dyDescent="0.2">
      <c r="A81" s="36" t="s">
        <v>29</v>
      </c>
      <c r="B81" s="852" t="s">
        <v>121</v>
      </c>
      <c r="C81" s="853"/>
      <c r="D81" s="853"/>
      <c r="E81" s="853"/>
      <c r="F81" s="1270">
        <f>ROUND(((1/30)/12)*1,4)*0</f>
        <v>0</v>
      </c>
      <c r="G81" s="112">
        <f t="shared" si="2"/>
        <v>0</v>
      </c>
      <c r="H81" s="4"/>
    </row>
    <row r="82" spans="1:8" x14ac:dyDescent="0.2">
      <c r="A82" s="36" t="s">
        <v>30</v>
      </c>
      <c r="B82" s="852" t="s">
        <v>122</v>
      </c>
      <c r="C82" s="853"/>
      <c r="D82" s="853"/>
      <c r="E82" s="853"/>
      <c r="F82" s="1270">
        <f>ROUND((((1/30)/12)*5)*0.02,4)*0</f>
        <v>0</v>
      </c>
      <c r="G82" s="112">
        <f t="shared" si="2"/>
        <v>0</v>
      </c>
      <c r="H82" s="4"/>
    </row>
    <row r="83" spans="1:8" x14ac:dyDescent="0.2">
      <c r="A83" s="36" t="s">
        <v>31</v>
      </c>
      <c r="B83" s="852" t="s">
        <v>123</v>
      </c>
      <c r="C83" s="853"/>
      <c r="D83" s="853"/>
      <c r="E83" s="853"/>
      <c r="F83" s="1270">
        <f>ROUND((((1/30)/12)*15)*0.05,4)*0</f>
        <v>0</v>
      </c>
      <c r="G83" s="112">
        <f t="shared" si="2"/>
        <v>0</v>
      </c>
      <c r="H83" s="4"/>
    </row>
    <row r="84" spans="1:8" x14ac:dyDescent="0.2">
      <c r="A84" s="36" t="s">
        <v>32</v>
      </c>
      <c r="B84" s="852" t="s">
        <v>182</v>
      </c>
      <c r="C84" s="853"/>
      <c r="D84" s="853"/>
      <c r="E84" s="853"/>
      <c r="F84" s="105">
        <v>0</v>
      </c>
      <c r="G84" s="112">
        <f t="shared" si="2"/>
        <v>0</v>
      </c>
      <c r="H84" s="4"/>
    </row>
    <row r="85" spans="1:8" x14ac:dyDescent="0.2">
      <c r="A85" s="36" t="s">
        <v>34</v>
      </c>
      <c r="B85" s="854" t="s">
        <v>124</v>
      </c>
      <c r="C85" s="855"/>
      <c r="D85" s="855"/>
      <c r="E85" s="855"/>
      <c r="F85" s="1272">
        <f>ROUND((((1/30)/12)*5)*0.5,4)*0</f>
        <v>0</v>
      </c>
      <c r="G85" s="123">
        <f t="shared" si="2"/>
        <v>0</v>
      </c>
      <c r="H85" s="4"/>
    </row>
    <row r="86" spans="1:8" x14ac:dyDescent="0.2">
      <c r="A86" s="840" t="s">
        <v>75</v>
      </c>
      <c r="B86" s="841"/>
      <c r="C86" s="841"/>
      <c r="D86" s="841"/>
      <c r="E86" s="841"/>
      <c r="F86" s="41">
        <f>SUM(F80:F85)</f>
        <v>0</v>
      </c>
      <c r="G86" s="111">
        <f>SUM(G80:G85)</f>
        <v>0</v>
      </c>
      <c r="H86" s="4">
        <f>ROUND(G34*F86,2)</f>
        <v>0</v>
      </c>
    </row>
    <row r="87" spans="1:8" s="21" customFormat="1" x14ac:dyDescent="0.2">
      <c r="A87" s="849" t="s">
        <v>76</v>
      </c>
      <c r="B87" s="850"/>
      <c r="C87" s="850"/>
      <c r="D87" s="850"/>
      <c r="E87" s="850"/>
      <c r="F87" s="850"/>
      <c r="G87" s="851"/>
      <c r="H87" s="4"/>
    </row>
    <row r="88" spans="1:8" x14ac:dyDescent="0.2">
      <c r="A88" s="11" t="s">
        <v>28</v>
      </c>
      <c r="B88" s="821" t="s">
        <v>77</v>
      </c>
      <c r="C88" s="822"/>
      <c r="D88" s="822"/>
      <c r="E88" s="822"/>
      <c r="F88" s="1274">
        <f xml:space="preserve"> ROUND((((ROUND((1/11)+(1/11)/3, 3))*4)/12)*1%,4)*0</f>
        <v>0</v>
      </c>
      <c r="G88" s="22">
        <f>ROUND(G$34*F88,2)</f>
        <v>0</v>
      </c>
      <c r="H88" s="4"/>
    </row>
    <row r="89" spans="1:8" x14ac:dyDescent="0.2">
      <c r="A89" s="5" t="s">
        <v>29</v>
      </c>
      <c r="B89" s="800" t="s">
        <v>78</v>
      </c>
      <c r="C89" s="801"/>
      <c r="D89" s="801"/>
      <c r="E89" s="801"/>
      <c r="F89" s="105">
        <f>ROUND(F88*F51,4)</f>
        <v>0</v>
      </c>
      <c r="G89" s="112">
        <f>ROUND(G$34*F89,2)</f>
        <v>0</v>
      </c>
      <c r="H89" s="4"/>
    </row>
    <row r="90" spans="1:8" x14ac:dyDescent="0.2">
      <c r="A90" s="5" t="s">
        <v>30</v>
      </c>
      <c r="B90" s="800" t="s">
        <v>79</v>
      </c>
      <c r="C90" s="801"/>
      <c r="D90" s="801"/>
      <c r="E90" s="801"/>
      <c r="F90" s="1270">
        <f>ROUND(ROUND(ROUND(((1+1/12)*4)/12,4)*1%,4)*F51,4)*0</f>
        <v>0</v>
      </c>
      <c r="G90" s="112">
        <f>ROUND(G$34*F90,2)</f>
        <v>0</v>
      </c>
      <c r="H90" s="4"/>
    </row>
    <row r="91" spans="1:8" x14ac:dyDescent="0.2">
      <c r="A91" s="5" t="s">
        <v>31</v>
      </c>
      <c r="B91" s="800" t="s">
        <v>59</v>
      </c>
      <c r="C91" s="801"/>
      <c r="D91" s="801"/>
      <c r="E91" s="801"/>
      <c r="F91" s="105">
        <v>0</v>
      </c>
      <c r="G91" s="123">
        <f>ROUND(G$34*F91,2)</f>
        <v>0</v>
      </c>
      <c r="H91" s="4"/>
    </row>
    <row r="92" spans="1:8" x14ac:dyDescent="0.2">
      <c r="A92" s="834" t="s">
        <v>80</v>
      </c>
      <c r="B92" s="817"/>
      <c r="C92" s="817"/>
      <c r="D92" s="817"/>
      <c r="E92" s="817"/>
      <c r="F92" s="10">
        <f>SUM(F88:F91)</f>
        <v>0</v>
      </c>
      <c r="G92" s="125">
        <f>SUM(G88:G91)</f>
        <v>0</v>
      </c>
      <c r="H92" s="4">
        <f>ROUND(G34*F92,2)</f>
        <v>0</v>
      </c>
    </row>
    <row r="93" spans="1:8" s="21" customFormat="1" x14ac:dyDescent="0.2">
      <c r="A93" s="849" t="s">
        <v>81</v>
      </c>
      <c r="B93" s="850"/>
      <c r="C93" s="850"/>
      <c r="D93" s="850"/>
      <c r="E93" s="850"/>
      <c r="F93" s="850"/>
      <c r="G93" s="851"/>
      <c r="H93" s="4"/>
    </row>
    <row r="94" spans="1:8" x14ac:dyDescent="0.2">
      <c r="A94" s="1275" t="s">
        <v>28</v>
      </c>
      <c r="B94" s="1276" t="s">
        <v>82</v>
      </c>
      <c r="C94" s="1277"/>
      <c r="D94" s="1277"/>
      <c r="E94" s="1277"/>
      <c r="F94" s="1278">
        <f>((1/220)*22)*0</f>
        <v>0</v>
      </c>
      <c r="G94" s="1279">
        <f>ROUND(G$34*F94,2)</f>
        <v>0</v>
      </c>
      <c r="H94" s="4"/>
    </row>
    <row r="95" spans="1:8" x14ac:dyDescent="0.2">
      <c r="A95" s="1275" t="s">
        <v>29</v>
      </c>
      <c r="B95" s="1280" t="s">
        <v>191</v>
      </c>
      <c r="C95" s="1281"/>
      <c r="D95" s="1281"/>
      <c r="E95" s="1282"/>
      <c r="F95" s="1283">
        <f>F94*F51</f>
        <v>0</v>
      </c>
      <c r="G95" s="1279">
        <f>ROUND(G$34*F95,2)</f>
        <v>0</v>
      </c>
      <c r="H95" s="4"/>
    </row>
    <row r="96" spans="1:8" x14ac:dyDescent="0.2">
      <c r="A96" s="834" t="s">
        <v>83</v>
      </c>
      <c r="B96" s="817"/>
      <c r="C96" s="817"/>
      <c r="D96" s="817"/>
      <c r="E96" s="817"/>
      <c r="F96" s="10">
        <f>SUM(F94:F95)</f>
        <v>0</v>
      </c>
      <c r="G96" s="125">
        <f>SUM(G94:G95)</f>
        <v>0</v>
      </c>
      <c r="H96" s="4">
        <f>ROUND(G34*F96,2)</f>
        <v>0</v>
      </c>
    </row>
    <row r="97" spans="1:8" s="45" customFormat="1" x14ac:dyDescent="0.2">
      <c r="A97" s="835" t="s">
        <v>125</v>
      </c>
      <c r="B97" s="836"/>
      <c r="C97" s="836"/>
      <c r="D97" s="836"/>
      <c r="E97" s="836"/>
      <c r="F97" s="836"/>
      <c r="G97" s="837"/>
      <c r="H97" s="35"/>
    </row>
    <row r="98" spans="1:8" s="34" customFormat="1" x14ac:dyDescent="0.2">
      <c r="A98" s="42" t="s">
        <v>28</v>
      </c>
      <c r="B98" s="838" t="s">
        <v>126</v>
      </c>
      <c r="C98" s="839"/>
      <c r="D98" s="839"/>
      <c r="E98" s="839"/>
      <c r="F98" s="1266">
        <f>((((8*13)/12)/220)+((((8*13)/12)/220)*100%))*0</f>
        <v>0</v>
      </c>
      <c r="G98" s="22">
        <f>ROUND(G$34*F98,2)</f>
        <v>0</v>
      </c>
      <c r="H98" s="35"/>
    </row>
    <row r="99" spans="1:8" s="34" customFormat="1" x14ac:dyDescent="0.2">
      <c r="A99" s="11" t="s">
        <v>29</v>
      </c>
      <c r="B99" s="802" t="s">
        <v>191</v>
      </c>
      <c r="C99" s="803"/>
      <c r="D99" s="803"/>
      <c r="E99" s="804"/>
      <c r="F99" s="78">
        <f>F98*F51</f>
        <v>0</v>
      </c>
      <c r="G99" s="22">
        <f>ROUND(G$34*F99,2)</f>
        <v>0</v>
      </c>
      <c r="H99" s="35"/>
    </row>
    <row r="100" spans="1:8" s="34" customFormat="1" x14ac:dyDescent="0.2">
      <c r="A100" s="840" t="s">
        <v>127</v>
      </c>
      <c r="B100" s="841"/>
      <c r="C100" s="841"/>
      <c r="D100" s="841"/>
      <c r="E100" s="841"/>
      <c r="F100" s="41">
        <f>SUM(F98:F99)</f>
        <v>0</v>
      </c>
      <c r="G100" s="111">
        <f>SUM(G98:G99)</f>
        <v>0</v>
      </c>
      <c r="H100" s="35">
        <f>ROUND(G44*F100,2)</f>
        <v>0</v>
      </c>
    </row>
    <row r="101" spans="1:8" x14ac:dyDescent="0.2">
      <c r="A101" s="827" t="s">
        <v>84</v>
      </c>
      <c r="B101" s="828"/>
      <c r="C101" s="828"/>
      <c r="D101" s="828"/>
      <c r="E101" s="828"/>
      <c r="F101" s="829"/>
      <c r="G101" s="830"/>
      <c r="H101" s="4"/>
    </row>
    <row r="102" spans="1:8" x14ac:dyDescent="0.2">
      <c r="A102" s="15" t="s">
        <v>85</v>
      </c>
      <c r="B102" s="831" t="s">
        <v>129</v>
      </c>
      <c r="C102" s="832"/>
      <c r="D102" s="832"/>
      <c r="E102" s="832"/>
      <c r="F102" s="16">
        <f>F86</f>
        <v>0</v>
      </c>
      <c r="G102" s="17">
        <f>G86</f>
        <v>0</v>
      </c>
      <c r="H102" s="4"/>
    </row>
    <row r="103" spans="1:8" x14ac:dyDescent="0.2">
      <c r="A103" s="119" t="s">
        <v>86</v>
      </c>
      <c r="B103" s="806" t="s">
        <v>87</v>
      </c>
      <c r="C103" s="807"/>
      <c r="D103" s="807"/>
      <c r="E103" s="807"/>
      <c r="F103" s="18">
        <f>F92</f>
        <v>0</v>
      </c>
      <c r="G103" s="120">
        <f>G92</f>
        <v>0</v>
      </c>
      <c r="H103" s="4"/>
    </row>
    <row r="104" spans="1:8" x14ac:dyDescent="0.2">
      <c r="A104" s="119" t="s">
        <v>88</v>
      </c>
      <c r="B104" s="806" t="s">
        <v>89</v>
      </c>
      <c r="C104" s="807"/>
      <c r="D104" s="807"/>
      <c r="E104" s="807"/>
      <c r="F104" s="18">
        <f>F96</f>
        <v>0</v>
      </c>
      <c r="G104" s="120">
        <f>G96</f>
        <v>0</v>
      </c>
      <c r="H104" s="4"/>
    </row>
    <row r="105" spans="1:8" x14ac:dyDescent="0.2">
      <c r="A105" s="119" t="s">
        <v>131</v>
      </c>
      <c r="B105" s="812" t="s">
        <v>130</v>
      </c>
      <c r="C105" s="813"/>
      <c r="D105" s="813"/>
      <c r="E105" s="813"/>
      <c r="F105" s="18">
        <f>F100</f>
        <v>0</v>
      </c>
      <c r="G105" s="120">
        <f>G100</f>
        <v>0</v>
      </c>
      <c r="H105" s="4"/>
    </row>
    <row r="106" spans="1:8" x14ac:dyDescent="0.2">
      <c r="A106" s="815" t="s">
        <v>90</v>
      </c>
      <c r="B106" s="816"/>
      <c r="C106" s="816"/>
      <c r="D106" s="816"/>
      <c r="E106" s="816"/>
      <c r="F106" s="817"/>
      <c r="G106" s="104">
        <f>SUM(G102:G105)</f>
        <v>0</v>
      </c>
      <c r="H106" s="4"/>
    </row>
    <row r="107" spans="1:8" x14ac:dyDescent="0.2">
      <c r="A107" s="827" t="s">
        <v>91</v>
      </c>
      <c r="B107" s="828"/>
      <c r="C107" s="828"/>
      <c r="D107" s="828"/>
      <c r="E107" s="828"/>
      <c r="F107" s="829"/>
      <c r="G107" s="830"/>
      <c r="H107" s="4"/>
    </row>
    <row r="108" spans="1:8" x14ac:dyDescent="0.2">
      <c r="A108" s="11" t="s">
        <v>28</v>
      </c>
      <c r="B108" s="844" t="str">
        <f>'Uniformes e EPI''s'!A5</f>
        <v>UNIFORMES</v>
      </c>
      <c r="C108" s="845"/>
      <c r="D108" s="845"/>
      <c r="E108" s="13">
        <f>'Uniformes e EPI''s'!K17</f>
        <v>0</v>
      </c>
      <c r="F108" s="24">
        <v>1</v>
      </c>
      <c r="G108" s="102">
        <f>ROUND(SUM(C108:E108),2)*F108</f>
        <v>0</v>
      </c>
      <c r="H108" s="4"/>
    </row>
    <row r="109" spans="1:8" s="34" customFormat="1" x14ac:dyDescent="0.2">
      <c r="A109" s="36" t="s">
        <v>29</v>
      </c>
      <c r="B109" s="846" t="str">
        <f>'Uniformes e EPI''s'!A19</f>
        <v>EPI's</v>
      </c>
      <c r="C109" s="801"/>
      <c r="D109" s="801"/>
      <c r="E109" s="44">
        <f>'Uniformes e EPI''s'!J39</f>
        <v>0</v>
      </c>
      <c r="F109" s="46">
        <v>1</v>
      </c>
      <c r="G109" s="102">
        <f>ROUND((E109*F109),2)</f>
        <v>0</v>
      </c>
      <c r="H109" s="35"/>
    </row>
    <row r="110" spans="1:8" s="34" customFormat="1" x14ac:dyDescent="0.2">
      <c r="A110" s="36" t="s">
        <v>30</v>
      </c>
      <c r="B110" s="800" t="s">
        <v>59</v>
      </c>
      <c r="C110" s="801"/>
      <c r="D110" s="801"/>
      <c r="E110" s="44">
        <v>0</v>
      </c>
      <c r="F110" s="47">
        <v>1</v>
      </c>
      <c r="G110" s="102">
        <f>ROUND((E110*F110),2)</f>
        <v>0</v>
      </c>
      <c r="H110" s="35"/>
    </row>
    <row r="111" spans="1:8" s="34" customFormat="1" x14ac:dyDescent="0.2">
      <c r="A111" s="166" t="s">
        <v>31</v>
      </c>
      <c r="B111" s="800" t="s">
        <v>59</v>
      </c>
      <c r="C111" s="801"/>
      <c r="D111" s="801"/>
      <c r="E111" s="44">
        <v>0</v>
      </c>
      <c r="F111" s="47">
        <v>1</v>
      </c>
      <c r="G111" s="102">
        <f>ROUND((E111*F111),2)</f>
        <v>0</v>
      </c>
      <c r="H111" s="35"/>
    </row>
    <row r="112" spans="1:8" s="34" customFormat="1" x14ac:dyDescent="0.2">
      <c r="A112" s="36" t="s">
        <v>32</v>
      </c>
      <c r="B112" s="800" t="s">
        <v>59</v>
      </c>
      <c r="C112" s="801"/>
      <c r="D112" s="801"/>
      <c r="E112" s="44">
        <v>0</v>
      </c>
      <c r="F112" s="47">
        <v>1</v>
      </c>
      <c r="G112" s="102">
        <f>ROUND((E112*F112),2)</f>
        <v>0</v>
      </c>
      <c r="H112" s="35"/>
    </row>
    <row r="113" spans="1:8" s="34" customFormat="1" x14ac:dyDescent="0.2">
      <c r="A113" s="36" t="s">
        <v>34</v>
      </c>
      <c r="B113" s="800" t="s">
        <v>59</v>
      </c>
      <c r="C113" s="801"/>
      <c r="D113" s="801"/>
      <c r="E113" s="44">
        <v>0</v>
      </c>
      <c r="F113" s="47">
        <v>1</v>
      </c>
      <c r="G113" s="102">
        <f>ROUND((E113*F113)/12,2)</f>
        <v>0</v>
      </c>
      <c r="H113" s="35"/>
    </row>
    <row r="114" spans="1:8" s="34" customFormat="1" x14ac:dyDescent="0.2">
      <c r="A114" s="166" t="s">
        <v>48</v>
      </c>
      <c r="B114" s="800" t="s">
        <v>59</v>
      </c>
      <c r="C114" s="801"/>
      <c r="D114" s="801"/>
      <c r="E114" s="44">
        <v>0</v>
      </c>
      <c r="F114" s="47">
        <v>1</v>
      </c>
      <c r="G114" s="102">
        <f>ROUND((E114*F114)/12,2)</f>
        <v>0</v>
      </c>
      <c r="H114" s="35"/>
    </row>
    <row r="115" spans="1:8" s="34" customFormat="1" x14ac:dyDescent="0.2">
      <c r="A115" s="36" t="s">
        <v>50</v>
      </c>
      <c r="B115" s="847" t="s">
        <v>59</v>
      </c>
      <c r="C115" s="848"/>
      <c r="D115" s="848"/>
      <c r="E115" s="44">
        <v>0</v>
      </c>
      <c r="F115" s="47">
        <v>1</v>
      </c>
      <c r="G115" s="102">
        <f>ROUND((E115*F115)/12,2)</f>
        <v>0</v>
      </c>
      <c r="H115" s="35"/>
    </row>
    <row r="116" spans="1:8" s="34" customFormat="1" x14ac:dyDescent="0.2">
      <c r="A116" s="842" t="s">
        <v>92</v>
      </c>
      <c r="B116" s="843"/>
      <c r="C116" s="843"/>
      <c r="D116" s="843"/>
      <c r="E116" s="843"/>
      <c r="F116" s="841"/>
      <c r="G116" s="104">
        <f>SUM(G108:G115)</f>
        <v>0</v>
      </c>
      <c r="H116" s="35"/>
    </row>
    <row r="117" spans="1:8" x14ac:dyDescent="0.2">
      <c r="A117" s="827" t="s">
        <v>93</v>
      </c>
      <c r="B117" s="828"/>
      <c r="C117" s="828"/>
      <c r="D117" s="828"/>
      <c r="E117" s="828"/>
      <c r="F117" s="829"/>
      <c r="G117" s="830"/>
      <c r="H117" s="4"/>
    </row>
    <row r="118" spans="1:8" s="21" customFormat="1" x14ac:dyDescent="0.2">
      <c r="A118" s="98">
        <v>3</v>
      </c>
      <c r="B118" s="19" t="s">
        <v>94</v>
      </c>
      <c r="C118" s="19"/>
      <c r="D118" s="19"/>
      <c r="E118" s="19"/>
      <c r="F118" s="19"/>
      <c r="G118" s="20"/>
      <c r="H118" s="4"/>
    </row>
    <row r="119" spans="1:8" x14ac:dyDescent="0.2">
      <c r="A119" s="11" t="s">
        <v>28</v>
      </c>
      <c r="B119" s="821" t="s">
        <v>95</v>
      </c>
      <c r="C119" s="822"/>
      <c r="D119" s="822"/>
      <c r="E119" s="822"/>
      <c r="F119" s="1294">
        <v>0</v>
      </c>
      <c r="G119" s="12">
        <f>ROUND(G135*F119,2)</f>
        <v>0</v>
      </c>
      <c r="H119" s="4"/>
    </row>
    <row r="120" spans="1:8" x14ac:dyDescent="0.2">
      <c r="A120" s="5" t="s">
        <v>29</v>
      </c>
      <c r="B120" s="800" t="s">
        <v>96</v>
      </c>
      <c r="C120" s="801"/>
      <c r="D120" s="801"/>
      <c r="E120" s="801"/>
      <c r="F120" s="1295">
        <v>0</v>
      </c>
      <c r="G120" s="106">
        <f>ROUND(((G135+G119)*F120),2)</f>
        <v>0</v>
      </c>
      <c r="H120" s="4"/>
    </row>
    <row r="121" spans="1:8" x14ac:dyDescent="0.2">
      <c r="A121" s="5" t="s">
        <v>30</v>
      </c>
      <c r="B121" s="823" t="s">
        <v>97</v>
      </c>
      <c r="C121" s="824"/>
      <c r="D121" s="824"/>
      <c r="E121" s="824"/>
      <c r="F121" s="121"/>
      <c r="G121" s="106"/>
      <c r="H121" s="4"/>
    </row>
    <row r="122" spans="1:8" x14ac:dyDescent="0.2">
      <c r="A122" s="5" t="s">
        <v>98</v>
      </c>
      <c r="B122" s="800" t="s">
        <v>99</v>
      </c>
      <c r="C122" s="801"/>
      <c r="D122" s="801"/>
      <c r="E122" s="801"/>
      <c r="F122" s="1295">
        <v>0</v>
      </c>
      <c r="G122" s="106">
        <f ca="1">ROUND(G$139*F122,2)</f>
        <v>0</v>
      </c>
      <c r="H122" s="4"/>
    </row>
    <row r="123" spans="1:8" s="3" customFormat="1" x14ac:dyDescent="0.2">
      <c r="A123" s="5" t="s">
        <v>100</v>
      </c>
      <c r="B123" s="800" t="s">
        <v>101</v>
      </c>
      <c r="C123" s="801"/>
      <c r="D123" s="801"/>
      <c r="E123" s="801"/>
      <c r="F123" s="1295">
        <v>0</v>
      </c>
      <c r="G123" s="106">
        <f ca="1">ROUND(G$139*F123,2)</f>
        <v>0</v>
      </c>
      <c r="H123" s="4"/>
    </row>
    <row r="124" spans="1:8" x14ac:dyDescent="0.2">
      <c r="A124" s="5" t="s">
        <v>102</v>
      </c>
      <c r="B124" s="800" t="s">
        <v>12</v>
      </c>
      <c r="C124" s="801"/>
      <c r="D124" s="801"/>
      <c r="E124" s="801"/>
      <c r="F124" s="121">
        <v>0.05</v>
      </c>
      <c r="G124" s="106">
        <f ca="1">ROUND(G$139*F124,2)</f>
        <v>294.8</v>
      </c>
      <c r="H124" s="4"/>
    </row>
    <row r="125" spans="1:8" x14ac:dyDescent="0.2">
      <c r="A125" s="484" t="s">
        <v>158</v>
      </c>
      <c r="B125" s="800" t="s">
        <v>59</v>
      </c>
      <c r="C125" s="801"/>
      <c r="D125" s="801"/>
      <c r="E125" s="801"/>
      <c r="F125" s="121">
        <v>0</v>
      </c>
      <c r="G125" s="106">
        <f ca="1">ROUND(G$139*F125,2)</f>
        <v>0</v>
      </c>
      <c r="H125" s="4"/>
    </row>
    <row r="126" spans="1:8" x14ac:dyDescent="0.2">
      <c r="A126" s="5" t="s">
        <v>460</v>
      </c>
      <c r="B126" s="800" t="s">
        <v>59</v>
      </c>
      <c r="C126" s="801"/>
      <c r="D126" s="801"/>
      <c r="E126" s="801"/>
      <c r="F126" s="121">
        <v>0</v>
      </c>
      <c r="G126" s="106">
        <f ca="1">ROUND(G$139*F126,2)</f>
        <v>0</v>
      </c>
      <c r="H126" s="4"/>
    </row>
    <row r="127" spans="1:8" x14ac:dyDescent="0.2">
      <c r="A127" s="5"/>
      <c r="B127" s="825" t="s">
        <v>103</v>
      </c>
      <c r="C127" s="826"/>
      <c r="D127" s="826"/>
      <c r="E127" s="826"/>
      <c r="F127" s="127">
        <f>SUM(F122:F126)</f>
        <v>0.05</v>
      </c>
      <c r="G127" s="128">
        <f ca="1">SUM(G122:G126)</f>
        <v>294.8</v>
      </c>
      <c r="H127" s="4">
        <f ca="1">ROUND(G139*F127,2)</f>
        <v>294.8</v>
      </c>
    </row>
    <row r="128" spans="1:8" x14ac:dyDescent="0.2">
      <c r="A128" s="815" t="s">
        <v>104</v>
      </c>
      <c r="B128" s="816"/>
      <c r="C128" s="816"/>
      <c r="D128" s="816"/>
      <c r="E128" s="816"/>
      <c r="F128" s="23">
        <f>SUM(F119,F120,F127)</f>
        <v>0.05</v>
      </c>
      <c r="G128" s="124">
        <f ca="1">SUM(G119:G126)</f>
        <v>294.8</v>
      </c>
      <c r="H128" s="4"/>
    </row>
    <row r="129" spans="1:8" x14ac:dyDescent="0.2">
      <c r="A129" s="827" t="s">
        <v>105</v>
      </c>
      <c r="B129" s="828"/>
      <c r="C129" s="828"/>
      <c r="D129" s="828"/>
      <c r="E129" s="828"/>
      <c r="F129" s="829"/>
      <c r="G129" s="830"/>
      <c r="H129" s="4"/>
    </row>
    <row r="130" spans="1:8" x14ac:dyDescent="0.2">
      <c r="A130" s="15" t="s">
        <v>28</v>
      </c>
      <c r="B130" s="831" t="s">
        <v>106</v>
      </c>
      <c r="C130" s="832"/>
      <c r="D130" s="832"/>
      <c r="E130" s="832"/>
      <c r="F130" s="833"/>
      <c r="G130" s="17">
        <f>G34</f>
        <v>2854.57</v>
      </c>
      <c r="H130" s="4"/>
    </row>
    <row r="131" spans="1:8" x14ac:dyDescent="0.2">
      <c r="A131" s="119" t="s">
        <v>29</v>
      </c>
      <c r="B131" s="806" t="s">
        <v>107</v>
      </c>
      <c r="C131" s="807"/>
      <c r="D131" s="807"/>
      <c r="E131" s="807"/>
      <c r="F131" s="808"/>
      <c r="G131" s="120">
        <f>G68</f>
        <v>2746.61</v>
      </c>
      <c r="H131" s="4"/>
    </row>
    <row r="132" spans="1:8" x14ac:dyDescent="0.2">
      <c r="A132" s="119" t="s">
        <v>30</v>
      </c>
      <c r="B132" s="806" t="s">
        <v>108</v>
      </c>
      <c r="C132" s="807"/>
      <c r="D132" s="807"/>
      <c r="E132" s="807"/>
      <c r="F132" s="808"/>
      <c r="G132" s="120">
        <f>G77</f>
        <v>0</v>
      </c>
      <c r="H132" s="4"/>
    </row>
    <row r="133" spans="1:8" x14ac:dyDescent="0.2">
      <c r="A133" s="119" t="s">
        <v>31</v>
      </c>
      <c r="B133" s="806" t="s">
        <v>109</v>
      </c>
      <c r="C133" s="807"/>
      <c r="D133" s="807"/>
      <c r="E133" s="807"/>
      <c r="F133" s="808"/>
      <c r="G133" s="120">
        <f>G106</f>
        <v>0</v>
      </c>
      <c r="H133" s="4"/>
    </row>
    <row r="134" spans="1:8" x14ac:dyDescent="0.2">
      <c r="A134" s="119" t="s">
        <v>32</v>
      </c>
      <c r="B134" s="806" t="s">
        <v>110</v>
      </c>
      <c r="C134" s="807"/>
      <c r="D134" s="807"/>
      <c r="E134" s="807"/>
      <c r="F134" s="808"/>
      <c r="G134" s="120">
        <f>G116</f>
        <v>0</v>
      </c>
      <c r="H134" s="4"/>
    </row>
    <row r="135" spans="1:8" x14ac:dyDescent="0.2">
      <c r="A135" s="119"/>
      <c r="B135" s="809" t="s">
        <v>111</v>
      </c>
      <c r="C135" s="810"/>
      <c r="D135" s="810"/>
      <c r="E135" s="810"/>
      <c r="F135" s="811"/>
      <c r="G135" s="120">
        <f>SUM(G130:G134)</f>
        <v>5601.18</v>
      </c>
      <c r="H135" s="4"/>
    </row>
    <row r="136" spans="1:8" x14ac:dyDescent="0.2">
      <c r="A136" s="119" t="s">
        <v>34</v>
      </c>
      <c r="B136" s="812" t="s">
        <v>112</v>
      </c>
      <c r="C136" s="813"/>
      <c r="D136" s="813"/>
      <c r="E136" s="813"/>
      <c r="F136" s="814"/>
      <c r="G136" s="120">
        <f ca="1">G128</f>
        <v>294.8</v>
      </c>
      <c r="H136" s="4"/>
    </row>
    <row r="137" spans="1:8" x14ac:dyDescent="0.2">
      <c r="A137" s="815" t="s">
        <v>113</v>
      </c>
      <c r="B137" s="816"/>
      <c r="C137" s="816"/>
      <c r="D137" s="816"/>
      <c r="E137" s="816"/>
      <c r="F137" s="817"/>
      <c r="G137" s="104">
        <f ca="1">SUM(G135:G136)</f>
        <v>5895.98</v>
      </c>
      <c r="H137" s="4">
        <f ca="1">SUM(G130:G136)-G135</f>
        <v>5895.98</v>
      </c>
    </row>
    <row r="138" spans="1:8" x14ac:dyDescent="0.2">
      <c r="A138" s="818" t="s">
        <v>13</v>
      </c>
      <c r="B138" s="819"/>
      <c r="C138" s="819"/>
      <c r="D138" s="819"/>
      <c r="E138" s="819"/>
      <c r="F138" s="819"/>
      <c r="G138" s="820"/>
      <c r="H138" s="4"/>
    </row>
    <row r="139" spans="1:8" x14ac:dyDescent="0.2">
      <c r="A139" s="25"/>
      <c r="B139" s="26" t="s">
        <v>114</v>
      </c>
      <c r="C139" s="26"/>
      <c r="D139" s="26"/>
      <c r="E139" s="26"/>
      <c r="F139" s="27"/>
      <c r="G139" s="1299">
        <f ca="1">G137</f>
        <v>5895.98</v>
      </c>
      <c r="H139" s="4"/>
    </row>
    <row r="140" spans="1:8" x14ac:dyDescent="0.2">
      <c r="A140" s="1300"/>
      <c r="B140" s="1301" t="s">
        <v>115</v>
      </c>
      <c r="C140" s="1301"/>
      <c r="D140" s="1301"/>
      <c r="E140" s="1301"/>
      <c r="F140" s="1302">
        <f>F21</f>
        <v>1</v>
      </c>
      <c r="G140" s="1303">
        <f ca="1">G139*F140</f>
        <v>5895.98</v>
      </c>
      <c r="H140" s="4"/>
    </row>
    <row r="141" spans="1:8" x14ac:dyDescent="0.2">
      <c r="F141" s="522"/>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H100"/>
  <sheetViews>
    <sheetView view="pageBreakPreview" zoomScaleNormal="100" zoomScaleSheetLayoutView="100" workbookViewId="0">
      <selection activeCell="B3" sqref="B3:H3"/>
    </sheetView>
  </sheetViews>
  <sheetFormatPr defaultColWidth="11.42578125" defaultRowHeight="16.5" x14ac:dyDescent="0.3"/>
  <cols>
    <col min="1" max="1" width="3" style="56" bestFit="1" customWidth="1"/>
    <col min="2" max="2" width="44.28515625" style="56" customWidth="1"/>
    <col min="3" max="8" width="14.5703125" style="56" customWidth="1"/>
    <col min="9" max="16384" width="11.42578125" style="56"/>
  </cols>
  <sheetData>
    <row r="1" spans="2:8" s="33" customFormat="1" x14ac:dyDescent="0.2">
      <c r="B1" s="1149" t="s">
        <v>471</v>
      </c>
      <c r="C1" s="1150"/>
      <c r="D1" s="1150"/>
      <c r="E1" s="1150"/>
      <c r="F1" s="1150"/>
      <c r="G1" s="1150"/>
      <c r="H1" s="1151"/>
    </row>
    <row r="2" spans="2:8" s="33" customFormat="1" ht="17.25" thickBot="1" x14ac:dyDescent="0.25">
      <c r="B2" s="1152" t="s">
        <v>507</v>
      </c>
      <c r="C2" s="1153"/>
      <c r="D2" s="1153"/>
      <c r="E2" s="1153"/>
      <c r="F2" s="1153"/>
      <c r="G2" s="1153"/>
      <c r="H2" s="1154"/>
    </row>
    <row r="3" spans="2:8" s="33" customFormat="1" ht="17.25" thickBot="1" x14ac:dyDescent="0.25">
      <c r="B3" s="1155" t="s">
        <v>392</v>
      </c>
      <c r="C3" s="1156"/>
      <c r="D3" s="1156"/>
      <c r="E3" s="1156"/>
      <c r="F3" s="1156"/>
      <c r="G3" s="1156"/>
      <c r="H3" s="1157"/>
    </row>
    <row r="4" spans="2:8" x14ac:dyDescent="0.3">
      <c r="B4" s="1158" t="s">
        <v>159</v>
      </c>
      <c r="C4" s="966"/>
      <c r="D4" s="966"/>
      <c r="E4" s="966"/>
      <c r="F4" s="966"/>
      <c r="G4" s="966"/>
      <c r="H4" s="967"/>
    </row>
    <row r="5" spans="2:8" ht="17.25" thickBot="1" x14ac:dyDescent="0.35">
      <c r="B5" s="1158"/>
      <c r="C5" s="966"/>
      <c r="D5" s="966"/>
      <c r="E5" s="966"/>
      <c r="F5" s="966"/>
      <c r="G5" s="966"/>
      <c r="H5" s="967"/>
    </row>
    <row r="6" spans="2:8" ht="17.25" thickBot="1" x14ac:dyDescent="0.35">
      <c r="B6" s="551" t="s">
        <v>174</v>
      </c>
      <c r="C6" s="1159" t="s">
        <v>486</v>
      </c>
      <c r="D6" s="1160"/>
      <c r="E6" s="1160"/>
      <c r="F6" s="1160"/>
      <c r="G6" s="1160"/>
      <c r="H6" s="1161"/>
    </row>
    <row r="7" spans="2:8" ht="39" thickBot="1" x14ac:dyDescent="0.35">
      <c r="B7" s="147" t="s">
        <v>193</v>
      </c>
      <c r="C7" s="169" t="s">
        <v>173</v>
      </c>
      <c r="D7" s="169" t="s">
        <v>439</v>
      </c>
      <c r="E7" s="169" t="s">
        <v>244</v>
      </c>
      <c r="F7" s="170" t="s">
        <v>438</v>
      </c>
      <c r="G7" s="81"/>
      <c r="H7" s="71"/>
    </row>
    <row r="8" spans="2:8" x14ac:dyDescent="0.3">
      <c r="B8" s="552" t="s">
        <v>237</v>
      </c>
      <c r="C8" s="553">
        <v>355.6</v>
      </c>
      <c r="D8" s="554">
        <v>800</v>
      </c>
      <c r="E8" s="555">
        <f t="shared" ref="E8:E13" si="0">C8/D8</f>
        <v>0.44</v>
      </c>
      <c r="F8" s="1162">
        <f>ROUNDUP(SUM(E8:E12),0)</f>
        <v>13</v>
      </c>
      <c r="G8" s="951"/>
      <c r="H8" s="71"/>
    </row>
    <row r="9" spans="2:8" x14ac:dyDescent="0.3">
      <c r="B9" s="556" t="s">
        <v>248</v>
      </c>
      <c r="C9" s="59">
        <v>75915.039999999994</v>
      </c>
      <c r="D9" s="557">
        <v>6800</v>
      </c>
      <c r="E9" s="558">
        <f t="shared" si="0"/>
        <v>11.16</v>
      </c>
      <c r="F9" s="963"/>
      <c r="G9" s="951"/>
      <c r="H9" s="71"/>
    </row>
    <row r="10" spans="2:8" x14ac:dyDescent="0.3">
      <c r="B10" s="556" t="s">
        <v>406</v>
      </c>
      <c r="C10" s="559">
        <v>110.94</v>
      </c>
      <c r="D10" s="560">
        <v>300</v>
      </c>
      <c r="E10" s="558">
        <f t="shared" si="0"/>
        <v>0.37</v>
      </c>
      <c r="F10" s="963"/>
      <c r="G10" s="951"/>
      <c r="H10" s="71"/>
    </row>
    <row r="11" spans="2:8" x14ac:dyDescent="0.3">
      <c r="B11" s="561" t="s">
        <v>239</v>
      </c>
      <c r="C11" s="562">
        <v>52.54</v>
      </c>
      <c r="D11" s="563">
        <v>200</v>
      </c>
      <c r="E11" s="558">
        <f t="shared" si="0"/>
        <v>0.26</v>
      </c>
      <c r="F11" s="963"/>
      <c r="G11" s="951"/>
      <c r="H11" s="71"/>
    </row>
    <row r="12" spans="2:8" ht="17.25" thickBot="1" x14ac:dyDescent="0.35">
      <c r="B12" s="564" t="s">
        <v>403</v>
      </c>
      <c r="C12" s="565">
        <v>145.28</v>
      </c>
      <c r="D12" s="566">
        <v>200</v>
      </c>
      <c r="E12" s="567">
        <f t="shared" si="0"/>
        <v>0.73</v>
      </c>
      <c r="F12" s="1163"/>
      <c r="G12" s="951"/>
      <c r="H12" s="71"/>
    </row>
    <row r="13" spans="2:8" ht="17.25" thickBot="1" x14ac:dyDescent="0.35">
      <c r="B13" s="148" t="s">
        <v>238</v>
      </c>
      <c r="C13" s="59">
        <v>97000</v>
      </c>
      <c r="D13" s="360">
        <v>24000</v>
      </c>
      <c r="E13" s="150">
        <f t="shared" si="0"/>
        <v>4.04</v>
      </c>
      <c r="F13" s="544">
        <f>ROUND((E13),0)</f>
        <v>4</v>
      </c>
      <c r="G13" s="524"/>
      <c r="H13" s="71"/>
    </row>
    <row r="14" spans="2:8" x14ac:dyDescent="0.3">
      <c r="B14" s="1164" t="str">
        <f>'Agente de Hig_div_turnos_CESOR'!F16</f>
        <v>Agente de Higienização (Diversos)</v>
      </c>
      <c r="C14" s="1165"/>
      <c r="D14" s="1165"/>
      <c r="E14" s="1165"/>
      <c r="F14" s="568">
        <f>'Agente de Hig_div_turnos_CESOR'!F22</f>
        <v>9</v>
      </c>
      <c r="G14" s="135"/>
      <c r="H14" s="71"/>
    </row>
    <row r="15" spans="2:8" x14ac:dyDescent="0.3">
      <c r="B15" s="1166" t="str">
        <f>'Agente de Hig_Diuturno_CESOR'!F16</f>
        <v xml:space="preserve">Agente de Higienização (Diuturno) </v>
      </c>
      <c r="C15" s="1167"/>
      <c r="D15" s="1167"/>
      <c r="E15" s="1167"/>
      <c r="F15" s="569">
        <f>'Agente de Hig_Diuturno_CESOR'!F22</f>
        <v>3</v>
      </c>
      <c r="G15" s="136"/>
      <c r="H15" s="71"/>
    </row>
    <row r="16" spans="2:8" x14ac:dyDescent="0.3">
      <c r="B16" s="1109" t="str">
        <f>Jardineiro_CESOR!F16</f>
        <v>Jardineiro</v>
      </c>
      <c r="C16" s="1144"/>
      <c r="D16" s="1144"/>
      <c r="E16" s="1145"/>
      <c r="F16" s="570">
        <f>Jardineiro_CESOR!F22</f>
        <v>2</v>
      </c>
      <c r="G16" s="136"/>
      <c r="H16" s="71"/>
    </row>
    <row r="17" spans="2:8" x14ac:dyDescent="0.3">
      <c r="B17" s="1109" t="str">
        <f>Tratorista_CESOR!F16</f>
        <v>Tratorista</v>
      </c>
      <c r="C17" s="1144"/>
      <c r="D17" s="1144"/>
      <c r="E17" s="1145"/>
      <c r="F17" s="570">
        <f>Tratorista_CESOR!F22</f>
        <v>1</v>
      </c>
      <c r="G17" s="136"/>
      <c r="H17" s="71"/>
    </row>
    <row r="18" spans="2:8" x14ac:dyDescent="0.3">
      <c r="B18" s="1109" t="str">
        <f>'Ajudante de Tratorista_CESOR'!F16</f>
        <v>Ajudante de Tratorista</v>
      </c>
      <c r="C18" s="1144"/>
      <c r="D18" s="1144"/>
      <c r="E18" s="1145"/>
      <c r="F18" s="570">
        <f>'Ajudante de Tratorista_CESOR'!F22</f>
        <v>1</v>
      </c>
      <c r="G18" s="136"/>
      <c r="H18" s="71"/>
    </row>
    <row r="19" spans="2:8" x14ac:dyDescent="0.3">
      <c r="B19" s="1109" t="str">
        <f>'Encarregado de Limpeza_CESOR'!F16</f>
        <v>Encarregado de Limpeza</v>
      </c>
      <c r="C19" s="1144"/>
      <c r="D19" s="1144"/>
      <c r="E19" s="1145"/>
      <c r="F19" s="570">
        <f>'Encarregado de Limpeza_CESOR'!F22</f>
        <v>1</v>
      </c>
      <c r="G19" s="136"/>
      <c r="H19" s="71"/>
    </row>
    <row r="20" spans="2:8" ht="17.25" thickBot="1" x14ac:dyDescent="0.35">
      <c r="B20" s="958" t="s">
        <v>446</v>
      </c>
      <c r="C20" s="1146"/>
      <c r="D20" s="1146"/>
      <c r="E20" s="1146"/>
      <c r="F20" s="571">
        <f>SUM(F14:F19)</f>
        <v>17</v>
      </c>
      <c r="G20" s="137"/>
      <c r="H20" s="71"/>
    </row>
    <row r="21" spans="2:8" ht="17.25" thickBot="1" x14ac:dyDescent="0.35">
      <c r="B21" s="572"/>
      <c r="C21" s="58"/>
      <c r="D21" s="57"/>
      <c r="E21" s="58"/>
      <c r="F21" s="58"/>
      <c r="G21" s="58"/>
      <c r="H21" s="71"/>
    </row>
    <row r="22" spans="2:8" ht="17.25" thickBot="1" x14ac:dyDescent="0.35">
      <c r="B22" s="82" t="s">
        <v>194</v>
      </c>
      <c r="C22" s="573" t="s">
        <v>178</v>
      </c>
      <c r="D22" s="81"/>
      <c r="E22" s="81"/>
      <c r="F22" s="58"/>
      <c r="G22" s="58"/>
      <c r="H22" s="71"/>
    </row>
    <row r="23" spans="2:8" x14ac:dyDescent="0.3">
      <c r="B23" s="361" t="str">
        <f t="shared" ref="B23:B28" si="1">B14</f>
        <v>Agente de Higienização (Diversos)</v>
      </c>
      <c r="C23" s="183">
        <f ca="1">'Agente de Hig_div_turnos_CESOR'!G140</f>
        <v>4996.7</v>
      </c>
      <c r="D23" s="80"/>
      <c r="E23" s="80"/>
      <c r="F23" s="58"/>
      <c r="G23" s="58"/>
      <c r="H23" s="73"/>
    </row>
    <row r="24" spans="2:8" x14ac:dyDescent="0.3">
      <c r="B24" s="361" t="str">
        <f t="shared" si="1"/>
        <v xml:space="preserve">Agente de Higienização (Diuturno) </v>
      </c>
      <c r="C24" s="183">
        <f ca="1">'Agente de Hig_Diuturno_CESOR'!G140</f>
        <v>5050.78</v>
      </c>
      <c r="D24" s="80"/>
      <c r="E24" s="80"/>
      <c r="F24" s="58"/>
      <c r="G24" s="58"/>
      <c r="H24" s="73"/>
    </row>
    <row r="25" spans="2:8" x14ac:dyDescent="0.3">
      <c r="B25" s="361" t="str">
        <f t="shared" si="1"/>
        <v>Jardineiro</v>
      </c>
      <c r="C25" s="183">
        <f ca="1">Jardineiro_CESOR!G140</f>
        <v>3899.6</v>
      </c>
      <c r="D25" s="80"/>
      <c r="E25" s="80"/>
      <c r="F25" s="58"/>
      <c r="G25" s="58"/>
      <c r="H25" s="73"/>
    </row>
    <row r="26" spans="2:8" x14ac:dyDescent="0.3">
      <c r="B26" s="361" t="str">
        <f t="shared" si="1"/>
        <v>Tratorista</v>
      </c>
      <c r="C26" s="183">
        <f ca="1">Tratorista_CESOR!G140</f>
        <v>4272.07</v>
      </c>
      <c r="D26" s="80"/>
      <c r="E26" s="80"/>
      <c r="F26" s="58"/>
      <c r="G26" s="58"/>
      <c r="H26" s="73"/>
    </row>
    <row r="27" spans="2:8" x14ac:dyDescent="0.3">
      <c r="B27" s="361" t="str">
        <f t="shared" si="1"/>
        <v>Ajudante de Tratorista</v>
      </c>
      <c r="C27" s="183">
        <f ca="1">'Ajudante de Tratorista_CESOR'!G140</f>
        <v>3831.81</v>
      </c>
      <c r="D27" s="80"/>
      <c r="E27" s="80"/>
      <c r="F27" s="58"/>
      <c r="G27" s="58"/>
      <c r="H27" s="73"/>
    </row>
    <row r="28" spans="2:8" ht="17.25" thickBot="1" x14ac:dyDescent="0.35">
      <c r="B28" s="381" t="str">
        <f t="shared" si="1"/>
        <v>Encarregado de Limpeza</v>
      </c>
      <c r="C28" s="574">
        <f ca="1">'Encarregado de Limpeza_CESOR'!G140</f>
        <v>5895.98</v>
      </c>
      <c r="D28" s="80"/>
      <c r="E28" s="80"/>
      <c r="F28" s="58"/>
      <c r="G28" s="58"/>
      <c r="H28" s="73"/>
    </row>
    <row r="29" spans="2:8" ht="17.25" thickBot="1" x14ac:dyDescent="0.35">
      <c r="B29" s="572"/>
      <c r="C29" s="58"/>
      <c r="D29" s="57"/>
      <c r="E29" s="58"/>
      <c r="F29" s="58"/>
      <c r="G29" s="58"/>
      <c r="H29" s="71"/>
    </row>
    <row r="30" spans="2:8" ht="39" thickBot="1" x14ac:dyDescent="0.35">
      <c r="B30" s="575" t="s">
        <v>165</v>
      </c>
      <c r="C30" s="576" t="s">
        <v>177</v>
      </c>
      <c r="D30" s="576" t="s">
        <v>172</v>
      </c>
      <c r="E30" s="576" t="s">
        <v>171</v>
      </c>
      <c r="F30" s="58"/>
      <c r="G30" s="58"/>
      <c r="H30" s="71"/>
    </row>
    <row r="31" spans="2:8" s="60" customFormat="1" x14ac:dyDescent="0.3">
      <c r="B31" s="577" t="s">
        <v>163</v>
      </c>
      <c r="C31" s="578"/>
      <c r="D31" s="578"/>
      <c r="E31" s="579"/>
      <c r="F31" s="58"/>
      <c r="G31" s="58"/>
      <c r="H31" s="71"/>
    </row>
    <row r="32" spans="2:8" s="60" customFormat="1" x14ac:dyDescent="0.3">
      <c r="B32" s="182" t="str">
        <f>B23</f>
        <v>Agente de Higienização (Diversos)</v>
      </c>
      <c r="C32" s="580">
        <f>ROUND(1/(26*D$8),9)</f>
        <v>4.8077000000000001E-5</v>
      </c>
      <c r="D32" s="61">
        <f ca="1">C23</f>
        <v>4996.7</v>
      </c>
      <c r="E32" s="77">
        <f ca="1">ROUND(D32*C32,2)</f>
        <v>0.24</v>
      </c>
      <c r="F32" s="58"/>
      <c r="G32" s="58"/>
      <c r="H32" s="71"/>
    </row>
    <row r="33" spans="2:8" s="60" customFormat="1" x14ac:dyDescent="0.3">
      <c r="B33" s="182" t="str">
        <f>B24</f>
        <v xml:space="preserve">Agente de Higienização (Diuturno) </v>
      </c>
      <c r="C33" s="580">
        <f>ROUND(1/(26*D$8),9)</f>
        <v>4.8077000000000001E-5</v>
      </c>
      <c r="D33" s="61">
        <f ca="1">C24</f>
        <v>5050.78</v>
      </c>
      <c r="E33" s="77">
        <f ca="1">ROUND(D33*C33,2)</f>
        <v>0.24</v>
      </c>
      <c r="F33" s="58"/>
      <c r="G33" s="58"/>
      <c r="H33" s="71"/>
    </row>
    <row r="34" spans="2:8" s="60" customFormat="1" x14ac:dyDescent="0.3">
      <c r="B34" s="182" t="str">
        <f>B28</f>
        <v>Encarregado de Limpeza</v>
      </c>
      <c r="C34" s="580">
        <f>ROUND(1/(26*D$8),9)</f>
        <v>4.8077000000000001E-5</v>
      </c>
      <c r="D34" s="61">
        <f ca="1">C28</f>
        <v>5895.98</v>
      </c>
      <c r="E34" s="77">
        <f ca="1">ROUND(D34*C34,2)</f>
        <v>0.28000000000000003</v>
      </c>
      <c r="F34" s="58"/>
      <c r="G34" s="58"/>
      <c r="H34" s="71"/>
    </row>
    <row r="35" spans="2:8" s="60" customFormat="1" ht="17.25" thickBot="1" x14ac:dyDescent="0.35">
      <c r="B35" s="582"/>
      <c r="C35" s="1142" t="s">
        <v>170</v>
      </c>
      <c r="D35" s="1098"/>
      <c r="E35" s="440">
        <f ca="1">SUM(E32:E34)</f>
        <v>0.76</v>
      </c>
      <c r="F35" s="58"/>
      <c r="G35" s="58"/>
      <c r="H35" s="71"/>
    </row>
    <row r="36" spans="2:8" s="60" customFormat="1" ht="39" thickBot="1" x14ac:dyDescent="0.35">
      <c r="B36" s="575" t="s">
        <v>165</v>
      </c>
      <c r="C36" s="576" t="s">
        <v>177</v>
      </c>
      <c r="D36" s="576" t="s">
        <v>172</v>
      </c>
      <c r="E36" s="576" t="s">
        <v>171</v>
      </c>
      <c r="F36" s="58"/>
      <c r="G36" s="58"/>
      <c r="H36" s="71"/>
    </row>
    <row r="37" spans="2:8" s="60" customFormat="1" x14ac:dyDescent="0.3">
      <c r="B37" s="577" t="s">
        <v>161</v>
      </c>
      <c r="C37" s="578"/>
      <c r="D37" s="578"/>
      <c r="E37" s="579"/>
      <c r="F37" s="58"/>
      <c r="G37" s="58"/>
      <c r="H37" s="71"/>
    </row>
    <row r="38" spans="2:8" s="60" customFormat="1" x14ac:dyDescent="0.3">
      <c r="B38" s="182" t="str">
        <f>B23</f>
        <v>Agente de Higienização (Diversos)</v>
      </c>
      <c r="C38" s="580">
        <f>ROUND(1/(4*D$9),9)</f>
        <v>3.6764999999999998E-5</v>
      </c>
      <c r="D38" s="61">
        <f ca="1">C23</f>
        <v>4996.7</v>
      </c>
      <c r="E38" s="77">
        <f ca="1">ROUND(D38*C38,2)</f>
        <v>0.18</v>
      </c>
      <c r="F38" s="58"/>
      <c r="G38" s="58"/>
      <c r="H38" s="71"/>
    </row>
    <row r="39" spans="2:8" s="60" customFormat="1" x14ac:dyDescent="0.3">
      <c r="B39" s="367" t="str">
        <f>B24</f>
        <v xml:space="preserve">Agente de Higienização (Diuturno) </v>
      </c>
      <c r="C39" s="580">
        <f t="shared" ref="C39:C40" si="2">ROUND(1/(4*D$9),9)</f>
        <v>3.6764999999999998E-5</v>
      </c>
      <c r="D39" s="61">
        <f ca="1">C24</f>
        <v>5050.78</v>
      </c>
      <c r="E39" s="77">
        <f t="shared" ref="E39" ca="1" si="3">ROUND(D39*C39,2)</f>
        <v>0.19</v>
      </c>
      <c r="F39" s="58"/>
      <c r="G39" s="58"/>
      <c r="H39" s="71"/>
    </row>
    <row r="40" spans="2:8" s="60" customFormat="1" x14ac:dyDescent="0.3">
      <c r="B40" s="584" t="str">
        <f>B28</f>
        <v>Encarregado de Limpeza</v>
      </c>
      <c r="C40" s="580">
        <f t="shared" si="2"/>
        <v>3.6764999999999998E-5</v>
      </c>
      <c r="D40" s="530">
        <f ca="1">C28</f>
        <v>5895.98</v>
      </c>
      <c r="E40" s="583">
        <f ca="1">ROUND(D40*C40,2)</f>
        <v>0.22</v>
      </c>
      <c r="F40" s="58"/>
      <c r="G40" s="58"/>
      <c r="H40" s="71"/>
    </row>
    <row r="41" spans="2:8" s="60" customFormat="1" ht="17.25" thickBot="1" x14ac:dyDescent="0.35">
      <c r="B41" s="357"/>
      <c r="C41" s="1147" t="s">
        <v>169</v>
      </c>
      <c r="D41" s="1148"/>
      <c r="E41" s="585">
        <f ca="1">SUM(E38:E40)</f>
        <v>0.59</v>
      </c>
      <c r="F41" s="58"/>
      <c r="G41" s="58"/>
      <c r="H41" s="71"/>
    </row>
    <row r="42" spans="2:8" s="60" customFormat="1" x14ac:dyDescent="0.3">
      <c r="B42" s="143" t="s">
        <v>240</v>
      </c>
      <c r="C42" s="64"/>
      <c r="D42" s="64"/>
      <c r="E42" s="356"/>
      <c r="F42" s="58"/>
      <c r="G42" s="58"/>
      <c r="H42" s="71"/>
    </row>
    <row r="43" spans="2:8" s="60" customFormat="1" x14ac:dyDescent="0.3">
      <c r="B43" s="182" t="str">
        <f>B23</f>
        <v>Agente de Higienização (Diversos)</v>
      </c>
      <c r="C43" s="586">
        <f>ROUND(1/(26*D$11),9)</f>
        <v>1.92308E-4</v>
      </c>
      <c r="D43" s="587">
        <f ca="1">C23</f>
        <v>4996.7</v>
      </c>
      <c r="E43" s="62">
        <f ca="1">ROUND(D43*C43,2)</f>
        <v>0.96</v>
      </c>
      <c r="F43" s="58"/>
      <c r="G43" s="58"/>
      <c r="H43" s="71"/>
    </row>
    <row r="44" spans="2:8" s="60" customFormat="1" x14ac:dyDescent="0.3">
      <c r="B44" s="581" t="str">
        <f>B28</f>
        <v>Encarregado de Limpeza</v>
      </c>
      <c r="C44" s="586">
        <f t="shared" ref="C44" si="4">ROUND(1/(26*D$11),9)</f>
        <v>1.92308E-4</v>
      </c>
      <c r="D44" s="587">
        <f ca="1">C28</f>
        <v>5895.98</v>
      </c>
      <c r="E44" s="62">
        <f t="shared" ref="E44" ca="1" si="5">ROUND(D44*C44,2)</f>
        <v>1.1299999999999999</v>
      </c>
      <c r="F44" s="58"/>
      <c r="G44" s="58"/>
      <c r="H44" s="71"/>
    </row>
    <row r="45" spans="2:8" s="63" customFormat="1" ht="17.25" thickBot="1" x14ac:dyDescent="0.35">
      <c r="B45" s="582"/>
      <c r="C45" s="1142" t="s">
        <v>241</v>
      </c>
      <c r="D45" s="1098"/>
      <c r="E45" s="588">
        <f ca="1">SUM(E43:E44)</f>
        <v>2.09</v>
      </c>
      <c r="F45" s="58"/>
      <c r="G45" s="58"/>
      <c r="H45" s="71"/>
    </row>
    <row r="46" spans="2:8" s="63" customFormat="1" x14ac:dyDescent="0.3">
      <c r="B46" s="143" t="s">
        <v>404</v>
      </c>
      <c r="C46" s="64"/>
      <c r="D46" s="64"/>
      <c r="E46" s="589"/>
      <c r="F46" s="58"/>
      <c r="G46" s="58"/>
      <c r="H46" s="71"/>
    </row>
    <row r="47" spans="2:8" s="63" customFormat="1" x14ac:dyDescent="0.3">
      <c r="B47" s="345" t="str">
        <f>B24</f>
        <v xml:space="preserve">Agente de Higienização (Diuturno) </v>
      </c>
      <c r="C47" s="586">
        <f>ROUND(1/(26*D$12),9)</f>
        <v>1.92308E-4</v>
      </c>
      <c r="D47" s="587">
        <f ca="1">C24</f>
        <v>5050.78</v>
      </c>
      <c r="E47" s="62">
        <f ca="1">ROUND(D47*C47,2)</f>
        <v>0.97</v>
      </c>
      <c r="F47" s="58"/>
      <c r="G47" s="58"/>
      <c r="H47" s="71"/>
    </row>
    <row r="48" spans="2:8" s="63" customFormat="1" x14ac:dyDescent="0.3">
      <c r="B48" s="345" t="str">
        <f>B28</f>
        <v>Encarregado de Limpeza</v>
      </c>
      <c r="C48" s="586">
        <f>ROUND(1/(26*D$12),9)</f>
        <v>1.92308E-4</v>
      </c>
      <c r="D48" s="587">
        <f ca="1">C28</f>
        <v>5895.98</v>
      </c>
      <c r="E48" s="62">
        <f ca="1">ROUND(D48*C48,2)</f>
        <v>1.1299999999999999</v>
      </c>
      <c r="F48" s="58"/>
      <c r="G48" s="58"/>
      <c r="H48" s="71"/>
    </row>
    <row r="49" spans="1:8" s="63" customFormat="1" ht="17.25" thickBot="1" x14ac:dyDescent="0.35">
      <c r="B49" s="582"/>
      <c r="C49" s="1142" t="s">
        <v>241</v>
      </c>
      <c r="D49" s="1098"/>
      <c r="E49" s="440">
        <f ca="1">SUM(E47:E48)</f>
        <v>2.1</v>
      </c>
      <c r="F49" s="58"/>
      <c r="G49" s="58"/>
      <c r="H49" s="71"/>
    </row>
    <row r="50" spans="1:8" s="60" customFormat="1" ht="17.25" thickBot="1" x14ac:dyDescent="0.35">
      <c r="B50" s="590"/>
      <c r="C50" s="58"/>
      <c r="D50" s="57"/>
      <c r="E50" s="58"/>
      <c r="F50" s="57"/>
      <c r="G50" s="58"/>
      <c r="H50" s="71"/>
    </row>
    <row r="51" spans="1:8" s="60" customFormat="1" ht="17.25" thickBot="1" x14ac:dyDescent="0.35">
      <c r="B51" s="1143" t="s">
        <v>165</v>
      </c>
      <c r="C51" s="1130" t="s">
        <v>177</v>
      </c>
      <c r="D51" s="1130" t="s">
        <v>245</v>
      </c>
      <c r="E51" s="1130" t="s">
        <v>246</v>
      </c>
      <c r="F51" s="1130" t="s">
        <v>168</v>
      </c>
      <c r="G51" s="1130" t="s">
        <v>167</v>
      </c>
      <c r="H51" s="1131" t="s">
        <v>166</v>
      </c>
    </row>
    <row r="52" spans="1:8" s="60" customFormat="1" ht="17.25" thickBot="1" x14ac:dyDescent="0.35">
      <c r="B52" s="1143"/>
      <c r="C52" s="1130"/>
      <c r="D52" s="1130"/>
      <c r="E52" s="1130"/>
      <c r="F52" s="1130"/>
      <c r="G52" s="1130"/>
      <c r="H52" s="1131"/>
    </row>
    <row r="53" spans="1:8" s="60" customFormat="1" x14ac:dyDescent="0.3">
      <c r="B53" s="591" t="s">
        <v>311</v>
      </c>
      <c r="C53" s="592"/>
      <c r="D53" s="592"/>
      <c r="E53" s="592"/>
      <c r="F53" s="592"/>
      <c r="G53" s="592"/>
      <c r="H53" s="593"/>
    </row>
    <row r="54" spans="1:8" s="60" customFormat="1" x14ac:dyDescent="0.3">
      <c r="B54" s="74" t="str">
        <f>B23</f>
        <v>Agente de Higienização (Diversos)</v>
      </c>
      <c r="C54" s="586">
        <f>ROUND(1/D$10,9)</f>
        <v>3.333333E-3</v>
      </c>
      <c r="D54" s="594">
        <f>ROUNDUP(((C$10/D$10)*8),2)</f>
        <v>3</v>
      </c>
      <c r="E54" s="595">
        <f>ROUND(1/188.76,9)</f>
        <v>5.2977329999999998E-3</v>
      </c>
      <c r="F54" s="596">
        <f>ROUND(((C54)*(E54)*(D54)),9)</f>
        <v>5.2976999999999998E-5</v>
      </c>
      <c r="G54" s="597">
        <f ca="1">C23</f>
        <v>4996.7</v>
      </c>
      <c r="H54" s="598">
        <f ca="1">ROUND(G54*F54,2)</f>
        <v>0.26</v>
      </c>
    </row>
    <row r="55" spans="1:8" s="60" customFormat="1" x14ac:dyDescent="0.3">
      <c r="B55" s="74" t="str">
        <f>B24</f>
        <v xml:space="preserve">Agente de Higienização (Diuturno) </v>
      </c>
      <c r="C55" s="586">
        <f t="shared" ref="C55" si="6">ROUND(1/D$10,9)</f>
        <v>3.333333E-3</v>
      </c>
      <c r="D55" s="594">
        <f t="shared" ref="D55:D56" si="7">ROUNDUP(((C$10/D$10)*8),2)</f>
        <v>3</v>
      </c>
      <c r="E55" s="595">
        <f t="shared" ref="E55:E56" si="8">ROUND(1/188.76,9)</f>
        <v>5.2977329999999998E-3</v>
      </c>
      <c r="F55" s="596">
        <f t="shared" ref="F55:F56" si="9">ROUND(((C55)*(E55)*(D55)),9)</f>
        <v>5.2976999999999998E-5</v>
      </c>
      <c r="G55" s="597">
        <f ca="1">C24</f>
        <v>5050.78</v>
      </c>
      <c r="H55" s="598">
        <f t="shared" ref="H55:H56" ca="1" si="10">ROUND(G55*F55,2)</f>
        <v>0.27</v>
      </c>
    </row>
    <row r="56" spans="1:8" s="60" customFormat="1" x14ac:dyDescent="0.3">
      <c r="B56" s="74" t="str">
        <f>B28</f>
        <v>Encarregado de Limpeza</v>
      </c>
      <c r="C56" s="586">
        <f>ROUND(1/(26*D$10),9)</f>
        <v>1.28205E-4</v>
      </c>
      <c r="D56" s="594">
        <f t="shared" si="7"/>
        <v>3</v>
      </c>
      <c r="E56" s="595">
        <f t="shared" si="8"/>
        <v>5.2977329999999998E-3</v>
      </c>
      <c r="F56" s="596">
        <f t="shared" si="9"/>
        <v>2.0379999999999998E-6</v>
      </c>
      <c r="G56" s="597">
        <f ca="1">C28</f>
        <v>5895.98</v>
      </c>
      <c r="H56" s="598">
        <f t="shared" ca="1" si="10"/>
        <v>0.01</v>
      </c>
    </row>
    <row r="57" spans="1:8" s="60" customFormat="1" ht="17.25" thickBot="1" x14ac:dyDescent="0.35">
      <c r="B57" s="599"/>
      <c r="C57" s="600"/>
      <c r="D57" s="600"/>
      <c r="E57" s="600"/>
      <c r="F57" s="600"/>
      <c r="G57" s="525" t="s">
        <v>312</v>
      </c>
      <c r="H57" s="601">
        <f ca="1">ROUND(SUM(H54:H56),2)</f>
        <v>0.54</v>
      </c>
    </row>
    <row r="58" spans="1:8" s="66" customFormat="1" ht="17.25" thickBot="1" x14ac:dyDescent="0.35">
      <c r="A58" s="141"/>
      <c r="B58" s="602"/>
      <c r="C58" s="139"/>
      <c r="D58" s="139"/>
      <c r="E58" s="139"/>
      <c r="F58" s="139"/>
      <c r="G58" s="140"/>
      <c r="H58" s="142"/>
    </row>
    <row r="59" spans="1:8" s="60" customFormat="1" ht="39" thickBot="1" x14ac:dyDescent="0.35">
      <c r="B59" s="603" t="s">
        <v>165</v>
      </c>
      <c r="C59" s="604" t="s">
        <v>177</v>
      </c>
      <c r="D59" s="604" t="s">
        <v>172</v>
      </c>
      <c r="E59" s="604" t="s">
        <v>171</v>
      </c>
      <c r="F59" s="58"/>
      <c r="G59" s="58"/>
      <c r="H59" s="71"/>
    </row>
    <row r="60" spans="1:8" s="60" customFormat="1" x14ac:dyDescent="0.3">
      <c r="B60" s="605" t="s">
        <v>242</v>
      </c>
      <c r="C60" s="606"/>
      <c r="D60" s="606"/>
      <c r="E60" s="589"/>
      <c r="F60" s="58"/>
      <c r="G60" s="58"/>
      <c r="H60" s="71"/>
    </row>
    <row r="61" spans="1:8" s="60" customFormat="1" x14ac:dyDescent="0.3">
      <c r="B61" s="182" t="str">
        <f>B25</f>
        <v>Jardineiro</v>
      </c>
      <c r="C61" s="586">
        <f>ROUND(1/(D$13),9)</f>
        <v>4.1666999999999999E-5</v>
      </c>
      <c r="D61" s="442">
        <f ca="1">C25</f>
        <v>3899.6</v>
      </c>
      <c r="E61" s="77">
        <f ca="1">ROUND(D61*C61,2)</f>
        <v>0.16</v>
      </c>
      <c r="F61" s="58"/>
      <c r="G61" s="58"/>
      <c r="H61" s="71"/>
    </row>
    <row r="62" spans="1:8" s="63" customFormat="1" x14ac:dyDescent="0.3">
      <c r="B62" s="182" t="str">
        <f t="shared" ref="B62:B64" si="11">B26</f>
        <v>Tratorista</v>
      </c>
      <c r="C62" s="586">
        <f t="shared" ref="C62:C63" si="12">ROUND(1/(D$13),9)</f>
        <v>4.1666999999999999E-5</v>
      </c>
      <c r="D62" s="442">
        <f t="shared" ref="D62:D64" ca="1" si="13">C26</f>
        <v>4272.07</v>
      </c>
      <c r="E62" s="77">
        <f ca="1">ROUND(D62*C62,2)</f>
        <v>0.18</v>
      </c>
      <c r="F62" s="58"/>
      <c r="G62" s="58"/>
      <c r="H62" s="71"/>
    </row>
    <row r="63" spans="1:8" s="63" customFormat="1" ht="15.95" customHeight="1" x14ac:dyDescent="0.3">
      <c r="B63" s="182" t="str">
        <f t="shared" si="11"/>
        <v>Ajudante de Tratorista</v>
      </c>
      <c r="C63" s="586">
        <f t="shared" si="12"/>
        <v>4.1666999999999999E-5</v>
      </c>
      <c r="D63" s="442">
        <f t="shared" ca="1" si="13"/>
        <v>3831.81</v>
      </c>
      <c r="E63" s="77">
        <f ca="1">ROUND(D63*C63,2)</f>
        <v>0.16</v>
      </c>
      <c r="F63" s="58"/>
      <c r="G63" s="58"/>
      <c r="H63" s="71"/>
    </row>
    <row r="64" spans="1:8" s="63" customFormat="1" ht="15.95" customHeight="1" x14ac:dyDescent="0.3">
      <c r="B64" s="182" t="str">
        <f t="shared" si="11"/>
        <v>Encarregado de Limpeza</v>
      </c>
      <c r="C64" s="607">
        <f>ROUND(1/(26*D13),9)</f>
        <v>1.6029999999999999E-6</v>
      </c>
      <c r="D64" s="442">
        <f t="shared" ca="1" si="13"/>
        <v>5895.98</v>
      </c>
      <c r="E64" s="77">
        <f ca="1">ROUND(D64*C64,2)</f>
        <v>0.01</v>
      </c>
      <c r="F64" s="58"/>
      <c r="G64" s="58"/>
      <c r="H64" s="71"/>
    </row>
    <row r="65" spans="1:8" s="60" customFormat="1" ht="15.95" customHeight="1" thickBot="1" x14ac:dyDescent="0.35">
      <c r="A65" s="65"/>
      <c r="B65" s="608"/>
      <c r="C65" s="1132" t="s">
        <v>247</v>
      </c>
      <c r="D65" s="1133"/>
      <c r="E65" s="440">
        <f ca="1">SUM(E61:E64)</f>
        <v>0.51</v>
      </c>
      <c r="F65" s="139"/>
      <c r="G65" s="140"/>
      <c r="H65" s="138"/>
    </row>
    <row r="66" spans="1:8" s="60" customFormat="1" ht="15.95" customHeight="1" thickBot="1" x14ac:dyDescent="0.35">
      <c r="A66" s="65"/>
      <c r="B66" s="572"/>
      <c r="C66" s="58"/>
      <c r="D66" s="58"/>
      <c r="E66" s="58"/>
      <c r="F66" s="58"/>
      <c r="G66" s="58"/>
      <c r="H66" s="71"/>
    </row>
    <row r="67" spans="1:8" s="60" customFormat="1" ht="15.95" customHeight="1" thickBot="1" x14ac:dyDescent="0.35">
      <c r="B67" s="1134" t="s">
        <v>165</v>
      </c>
      <c r="C67" s="1136" t="s">
        <v>164</v>
      </c>
      <c r="D67" s="1138" t="s">
        <v>249</v>
      </c>
      <c r="E67" s="1136" t="s">
        <v>250</v>
      </c>
      <c r="F67" s="1136" t="s">
        <v>445</v>
      </c>
      <c r="G67" s="1140" t="s">
        <v>436</v>
      </c>
      <c r="H67" s="71"/>
    </row>
    <row r="68" spans="1:8" s="60" customFormat="1" ht="29.45" customHeight="1" thickBot="1" x14ac:dyDescent="0.35">
      <c r="B68" s="1135"/>
      <c r="C68" s="1137"/>
      <c r="D68" s="1139"/>
      <c r="E68" s="1137"/>
      <c r="F68" s="1137"/>
      <c r="G68" s="1141"/>
      <c r="H68" s="71"/>
    </row>
    <row r="69" spans="1:8" s="60" customFormat="1" ht="15.95" customHeight="1" x14ac:dyDescent="0.3">
      <c r="B69" s="143" t="s">
        <v>163</v>
      </c>
      <c r="C69" s="67">
        <f ca="1">E35</f>
        <v>0.76</v>
      </c>
      <c r="D69" s="68">
        <f t="shared" ref="D69:D74" si="14">C8</f>
        <v>355.6</v>
      </c>
      <c r="E69" s="609">
        <f t="shared" ref="E69:E74" ca="1" si="15">ROUND(D69*C69,2)</f>
        <v>270.26</v>
      </c>
      <c r="F69" s="68">
        <f>D69*12</f>
        <v>4267.2</v>
      </c>
      <c r="G69" s="610">
        <f ca="1">E69*12</f>
        <v>3243.12</v>
      </c>
      <c r="H69" s="72"/>
    </row>
    <row r="70" spans="1:8" s="60" customFormat="1" ht="15.95" customHeight="1" x14ac:dyDescent="0.3">
      <c r="B70" s="611" t="s">
        <v>161</v>
      </c>
      <c r="C70" s="67">
        <f ca="1">E41</f>
        <v>0.59</v>
      </c>
      <c r="D70" s="68">
        <f t="shared" si="14"/>
        <v>75915.039999999994</v>
      </c>
      <c r="E70" s="609">
        <f t="shared" ca="1" si="15"/>
        <v>44789.87</v>
      </c>
      <c r="F70" s="68">
        <f t="shared" ref="F70:G74" si="16">D70*12</f>
        <v>910980.48</v>
      </c>
      <c r="G70" s="610">
        <f t="shared" ca="1" si="16"/>
        <v>537478.43999999994</v>
      </c>
      <c r="H70" s="72"/>
    </row>
    <row r="71" spans="1:8" s="60" customFormat="1" ht="15.95" customHeight="1" x14ac:dyDescent="0.3">
      <c r="B71" s="611" t="s">
        <v>405</v>
      </c>
      <c r="C71" s="67">
        <f ca="1">H57</f>
        <v>0.54</v>
      </c>
      <c r="D71" s="68">
        <f t="shared" si="14"/>
        <v>110.94</v>
      </c>
      <c r="E71" s="609">
        <f t="shared" ca="1" si="15"/>
        <v>59.91</v>
      </c>
      <c r="F71" s="68">
        <f t="shared" si="16"/>
        <v>1331.28</v>
      </c>
      <c r="G71" s="610">
        <f t="shared" ca="1" si="16"/>
        <v>718.92</v>
      </c>
      <c r="H71" s="72"/>
    </row>
    <row r="72" spans="1:8" s="60" customFormat="1" ht="15.95" customHeight="1" x14ac:dyDescent="0.3">
      <c r="B72" s="611" t="s">
        <v>240</v>
      </c>
      <c r="C72" s="67">
        <f ca="1">E45</f>
        <v>2.09</v>
      </c>
      <c r="D72" s="68">
        <f t="shared" si="14"/>
        <v>52.54</v>
      </c>
      <c r="E72" s="609">
        <f t="shared" ca="1" si="15"/>
        <v>109.81</v>
      </c>
      <c r="F72" s="68">
        <f t="shared" si="16"/>
        <v>630.48</v>
      </c>
      <c r="G72" s="610">
        <f t="shared" ca="1" si="16"/>
        <v>1317.72</v>
      </c>
      <c r="H72" s="72"/>
    </row>
    <row r="73" spans="1:8" s="60" customFormat="1" ht="15.95" customHeight="1" x14ac:dyDescent="0.3">
      <c r="B73" s="611" t="s">
        <v>404</v>
      </c>
      <c r="C73" s="67">
        <f ca="1">E49</f>
        <v>2.1</v>
      </c>
      <c r="D73" s="68">
        <f t="shared" si="14"/>
        <v>145.28</v>
      </c>
      <c r="E73" s="609">
        <f t="shared" ca="1" si="15"/>
        <v>305.08999999999997</v>
      </c>
      <c r="F73" s="68">
        <f t="shared" si="16"/>
        <v>1743.36</v>
      </c>
      <c r="G73" s="610">
        <f t="shared" ca="1" si="16"/>
        <v>3661.08</v>
      </c>
      <c r="H73" s="72"/>
    </row>
    <row r="74" spans="1:8" s="60" customFormat="1" ht="15.95" customHeight="1" x14ac:dyDescent="0.3">
      <c r="B74" s="611" t="s">
        <v>243</v>
      </c>
      <c r="C74" s="67">
        <f ca="1">E65</f>
        <v>0.51</v>
      </c>
      <c r="D74" s="68">
        <f t="shared" si="14"/>
        <v>97000</v>
      </c>
      <c r="E74" s="609">
        <f t="shared" ca="1" si="15"/>
        <v>49470</v>
      </c>
      <c r="F74" s="68">
        <f t="shared" si="16"/>
        <v>1164000</v>
      </c>
      <c r="G74" s="610">
        <f t="shared" ca="1" si="16"/>
        <v>593640</v>
      </c>
      <c r="H74" s="72"/>
    </row>
    <row r="75" spans="1:8" s="60" customFormat="1" ht="15.95" customHeight="1" x14ac:dyDescent="0.3">
      <c r="A75" s="69" t="s">
        <v>162</v>
      </c>
      <c r="B75" s="1124" t="s">
        <v>408</v>
      </c>
      <c r="C75" s="1125"/>
      <c r="D75" s="1125"/>
      <c r="E75" s="1125"/>
      <c r="F75" s="1125"/>
      <c r="G75" s="612">
        <f ca="1">SUM(E69:E74)</f>
        <v>95004.94</v>
      </c>
      <c r="H75" s="71"/>
    </row>
    <row r="76" spans="1:8" s="60" customFormat="1" ht="15.95" customHeight="1" thickBot="1" x14ac:dyDescent="0.35">
      <c r="A76" s="63"/>
      <c r="B76" s="1126" t="s">
        <v>447</v>
      </c>
      <c r="C76" s="1127"/>
      <c r="D76" s="1127"/>
      <c r="E76" s="1127"/>
      <c r="F76" s="1127"/>
      <c r="G76" s="613">
        <f ca="1">G75*12</f>
        <v>1140059.28</v>
      </c>
      <c r="H76" s="71"/>
    </row>
    <row r="77" spans="1:8" s="60" customFormat="1" x14ac:dyDescent="0.3">
      <c r="A77" s="63"/>
      <c r="B77" s="1128" t="s">
        <v>427</v>
      </c>
      <c r="C77" s="1129"/>
      <c r="D77" s="1129"/>
      <c r="E77" s="1129"/>
      <c r="F77" s="1129"/>
      <c r="G77" s="614">
        <f>'Insumos Diversos'!J136</f>
        <v>0</v>
      </c>
      <c r="H77" s="71"/>
    </row>
    <row r="78" spans="1:8" s="60" customFormat="1" ht="17.25" thickBot="1" x14ac:dyDescent="0.35">
      <c r="A78" s="63"/>
      <c r="B78" s="929" t="s">
        <v>434</v>
      </c>
      <c r="C78" s="930"/>
      <c r="D78" s="930"/>
      <c r="E78" s="930"/>
      <c r="F78" s="930"/>
      <c r="G78" s="418">
        <f>G77*12</f>
        <v>0</v>
      </c>
      <c r="H78" s="71"/>
    </row>
    <row r="79" spans="1:8" s="60" customFormat="1" x14ac:dyDescent="0.3">
      <c r="A79" s="63"/>
      <c r="B79" s="1118" t="s">
        <v>503</v>
      </c>
      <c r="C79" s="1119"/>
      <c r="D79" s="1119"/>
      <c r="E79" s="1119"/>
      <c r="F79" s="1119"/>
      <c r="G79" s="615">
        <f ca="1">SUM(G75,G77)</f>
        <v>95004.94</v>
      </c>
      <c r="H79" s="71"/>
    </row>
    <row r="80" spans="1:8" s="60" customFormat="1" ht="17.25" thickBot="1" x14ac:dyDescent="0.35">
      <c r="A80" s="63"/>
      <c r="B80" s="927" t="s">
        <v>504</v>
      </c>
      <c r="C80" s="928"/>
      <c r="D80" s="928"/>
      <c r="E80" s="928"/>
      <c r="F80" s="928"/>
      <c r="G80" s="431">
        <f ca="1">G79*12</f>
        <v>1140059.28</v>
      </c>
      <c r="H80" s="71"/>
    </row>
    <row r="81" spans="1:8" s="60" customFormat="1" x14ac:dyDescent="0.3">
      <c r="B81" s="387" t="s">
        <v>160</v>
      </c>
      <c r="C81" s="58"/>
      <c r="D81" s="58"/>
      <c r="E81" s="58"/>
      <c r="F81" s="58"/>
      <c r="G81" s="58"/>
      <c r="H81" s="71"/>
    </row>
    <row r="82" spans="1:8" s="60" customFormat="1" x14ac:dyDescent="0.3">
      <c r="B82" s="1120" t="s">
        <v>253</v>
      </c>
      <c r="C82" s="939"/>
      <c r="D82" s="939"/>
      <c r="E82" s="939"/>
      <c r="F82" s="939"/>
      <c r="G82" s="939"/>
      <c r="H82" s="940"/>
    </row>
    <row r="83" spans="1:8" s="60" customFormat="1" x14ac:dyDescent="0.3">
      <c r="B83" s="1121" t="s">
        <v>407</v>
      </c>
      <c r="C83" s="942"/>
      <c r="D83" s="942"/>
      <c r="E83" s="942"/>
      <c r="F83" s="942"/>
      <c r="G83" s="942"/>
      <c r="H83" s="943"/>
    </row>
    <row r="84" spans="1:8" s="60" customFormat="1" x14ac:dyDescent="0.3">
      <c r="B84" s="1122" t="s">
        <v>317</v>
      </c>
      <c r="C84" s="945"/>
      <c r="D84" s="945"/>
      <c r="E84" s="945"/>
      <c r="F84" s="945"/>
      <c r="G84" s="945"/>
      <c r="H84" s="946"/>
    </row>
    <row r="85" spans="1:8" s="60" customFormat="1" x14ac:dyDescent="0.3">
      <c r="B85" s="1123" t="s">
        <v>192</v>
      </c>
      <c r="C85" s="948"/>
      <c r="D85" s="948"/>
      <c r="E85" s="948"/>
      <c r="F85" s="948"/>
      <c r="G85" s="948"/>
      <c r="H85" s="949"/>
    </row>
    <row r="86" spans="1:8" s="60" customFormat="1" ht="17.25" thickBot="1" x14ac:dyDescent="0.35">
      <c r="B86" s="1115" t="s">
        <v>213</v>
      </c>
      <c r="C86" s="1116"/>
      <c r="D86" s="1116"/>
      <c r="E86" s="1116"/>
      <c r="F86" s="1116"/>
      <c r="G86" s="1116"/>
      <c r="H86" s="1117"/>
    </row>
    <row r="87" spans="1:8" s="60" customFormat="1" x14ac:dyDescent="0.3">
      <c r="A87" s="70"/>
      <c r="B87" s="351"/>
      <c r="C87" s="351"/>
      <c r="D87" s="351"/>
      <c r="E87" s="351"/>
      <c r="F87" s="351"/>
      <c r="G87" s="351"/>
      <c r="H87" s="352"/>
    </row>
    <row r="88" spans="1:8" s="60" customFormat="1" x14ac:dyDescent="0.3">
      <c r="A88" s="70"/>
    </row>
    <row r="89" spans="1:8" s="60" customFormat="1" x14ac:dyDescent="0.3">
      <c r="A89" s="70"/>
    </row>
    <row r="90" spans="1:8" s="60" customFormat="1" x14ac:dyDescent="0.3">
      <c r="A90" s="70"/>
    </row>
    <row r="91" spans="1:8" s="60" customFormat="1" x14ac:dyDescent="0.3">
      <c r="A91" s="70"/>
    </row>
    <row r="92" spans="1:8" s="60" customFormat="1" x14ac:dyDescent="0.3">
      <c r="A92" s="70"/>
    </row>
    <row r="93" spans="1:8" s="60" customFormat="1" x14ac:dyDescent="0.3">
      <c r="A93" s="70"/>
    </row>
    <row r="94" spans="1:8" s="60" customFormat="1" x14ac:dyDescent="0.3">
      <c r="A94" s="70"/>
    </row>
    <row r="95" spans="1:8" s="60" customFormat="1" x14ac:dyDescent="0.3">
      <c r="A95" s="70"/>
      <c r="B95" s="56"/>
      <c r="C95" s="56"/>
      <c r="D95" s="56"/>
      <c r="E95" s="56"/>
      <c r="F95" s="56"/>
    </row>
    <row r="96" spans="1:8" s="60" customFormat="1" x14ac:dyDescent="0.3">
      <c r="B96" s="56"/>
      <c r="C96" s="56"/>
      <c r="D96" s="56"/>
      <c r="E96" s="56"/>
      <c r="F96" s="56"/>
      <c r="G96" s="56"/>
    </row>
    <row r="97" spans="1:8" s="60" customFormat="1" x14ac:dyDescent="0.3">
      <c r="B97" s="56"/>
      <c r="C97" s="56"/>
      <c r="D97" s="56"/>
      <c r="E97" s="56"/>
      <c r="F97" s="56"/>
      <c r="G97" s="56"/>
      <c r="H97" s="56"/>
    </row>
    <row r="98" spans="1:8" s="60" customFormat="1" x14ac:dyDescent="0.3">
      <c r="A98" s="70"/>
      <c r="B98" s="56"/>
      <c r="C98" s="56"/>
      <c r="D98" s="56"/>
      <c r="E98" s="56"/>
      <c r="F98" s="56"/>
      <c r="G98" s="56"/>
      <c r="H98" s="56"/>
    </row>
    <row r="99" spans="1:8" s="60" customFormat="1" x14ac:dyDescent="0.3">
      <c r="A99" s="70"/>
      <c r="B99" s="56"/>
      <c r="C99" s="56"/>
      <c r="D99" s="56"/>
      <c r="E99" s="56"/>
      <c r="F99" s="56"/>
      <c r="G99" s="56"/>
      <c r="H99" s="56"/>
    </row>
    <row r="100" spans="1:8" s="60" customFormat="1" x14ac:dyDescent="0.3">
      <c r="B100" s="56"/>
      <c r="C100" s="56"/>
      <c r="D100" s="56"/>
      <c r="E100" s="56"/>
      <c r="F100" s="56"/>
      <c r="G100" s="56"/>
      <c r="H100" s="56"/>
    </row>
  </sheetData>
  <mergeCells count="43">
    <mergeCell ref="B17:E17"/>
    <mergeCell ref="B1:H1"/>
    <mergeCell ref="B2:H2"/>
    <mergeCell ref="B3:H3"/>
    <mergeCell ref="B4:H5"/>
    <mergeCell ref="C6:H6"/>
    <mergeCell ref="F8:F12"/>
    <mergeCell ref="G8:G12"/>
    <mergeCell ref="B14:E14"/>
    <mergeCell ref="B15:E15"/>
    <mergeCell ref="B16:E16"/>
    <mergeCell ref="B18:E18"/>
    <mergeCell ref="B19:E19"/>
    <mergeCell ref="B20:E20"/>
    <mergeCell ref="C35:D35"/>
    <mergeCell ref="C41:D41"/>
    <mergeCell ref="C45:D45"/>
    <mergeCell ref="C49:D49"/>
    <mergeCell ref="B51:B52"/>
    <mergeCell ref="C51:C52"/>
    <mergeCell ref="D51:D52"/>
    <mergeCell ref="G51:G52"/>
    <mergeCell ref="H51:H52"/>
    <mergeCell ref="C65:D65"/>
    <mergeCell ref="B67:B68"/>
    <mergeCell ref="C67:C68"/>
    <mergeCell ref="D67:D68"/>
    <mergeCell ref="E67:E68"/>
    <mergeCell ref="F67:F68"/>
    <mergeCell ref="G67:G68"/>
    <mergeCell ref="E51:E52"/>
    <mergeCell ref="B75:F75"/>
    <mergeCell ref="B76:F76"/>
    <mergeCell ref="B77:F77"/>
    <mergeCell ref="B78:F78"/>
    <mergeCell ref="F51:F52"/>
    <mergeCell ref="B86:H86"/>
    <mergeCell ref="B79:F79"/>
    <mergeCell ref="B80:F80"/>
    <mergeCell ref="B82:H82"/>
    <mergeCell ref="B83:H83"/>
    <mergeCell ref="B84:H84"/>
    <mergeCell ref="B85:H85"/>
  </mergeCells>
  <dataValidations disablePrompts="1" count="1">
    <dataValidation type="custom" allowBlank="1" showErrorMessage="1" errorTitle="Erro" error="Não é permitido escrever nesta célula" sqref="K110 JG110 TC110 ACY110 AMU110 AWQ110 BGM110 BQI110 CAE110 CKA110 CTW110 DDS110 DNO110 DXK110 EHG110 ERC110 FAY110 FKU110 FUQ110 GEM110 GOI110 GYE110 HIA110 HRW110 IBS110 ILO110 IVK110 JFG110 JPC110 JYY110 KIU110 KSQ110 LCM110 LMI110 LWE110 MGA110 MPW110 MZS110 NJO110 NTK110 ODG110 ONC110 OWY110 PGU110 PQQ110 QAM110 QKI110 QUE110 REA110 RNW110 RXS110 SHO110 SRK110 TBG110 TLC110 TUY110 UEU110 UOQ110 UYM110 VII110 VSE110 WCA110 WLW110 K65646 JG65646 TC65646 ACY65646 AMU65646 AWQ65646 BGM65646 BQI65646 CAE65646 CKA65646 CTW65646 DDS65646 DNO65646 DXK65646 EHG65646 ERC65646 FAY65646 FKU65646 FUQ65646 GEM65646 GOI65646 GYE65646 HIA65646 HRW65646 IBS65646 ILO65646 IVK65646 JFG65646 JPC65646 JYY65646 KIU65646 KSQ65646 LCM65646 LMI65646 LWE65646 MGA65646 MPW65646 MZS65646 NJO65646 NTK65646 ODG65646 ONC65646 OWY65646 PGU65646 PQQ65646 QAM65646 QKI65646 QUE65646 REA65646 RNW65646 RXS65646 SHO65646 SRK65646 TBG65646 TLC65646 TUY65646 UEU65646 UOQ65646 UYM65646 VII65646 VSE65646 WCA65646 WLW65646 K131182 JG131182 TC131182 ACY131182 AMU131182 AWQ131182 BGM131182 BQI131182 CAE131182 CKA131182 CTW131182 DDS131182 DNO131182 DXK131182 EHG131182 ERC131182 FAY131182 FKU131182 FUQ131182 GEM131182 GOI131182 GYE131182 HIA131182 HRW131182 IBS131182 ILO131182 IVK131182 JFG131182 JPC131182 JYY131182 KIU131182 KSQ131182 LCM131182 LMI131182 LWE131182 MGA131182 MPW131182 MZS131182 NJO131182 NTK131182 ODG131182 ONC131182 OWY131182 PGU131182 PQQ131182 QAM131182 QKI131182 QUE131182 REA131182 RNW131182 RXS131182 SHO131182 SRK131182 TBG131182 TLC131182 TUY131182 UEU131182 UOQ131182 UYM131182 VII131182 VSE131182 WCA131182 WLW131182 K196718 JG196718 TC196718 ACY196718 AMU196718 AWQ196718 BGM196718 BQI196718 CAE196718 CKA196718 CTW196718 DDS196718 DNO196718 DXK196718 EHG196718 ERC196718 FAY196718 FKU196718 FUQ196718 GEM196718 GOI196718 GYE196718 HIA196718 HRW196718 IBS196718 ILO196718 IVK196718 JFG196718 JPC196718 JYY196718 KIU196718 KSQ196718 LCM196718 LMI196718 LWE196718 MGA196718 MPW196718 MZS196718 NJO196718 NTK196718 ODG196718 ONC196718 OWY196718 PGU196718 PQQ196718 QAM196718 QKI196718 QUE196718 REA196718 RNW196718 RXS196718 SHO196718 SRK196718 TBG196718 TLC196718 TUY196718 UEU196718 UOQ196718 UYM196718 VII196718 VSE196718 WCA196718 WLW196718 K262254 JG262254 TC262254 ACY262254 AMU262254 AWQ262254 BGM262254 BQI262254 CAE262254 CKA262254 CTW262254 DDS262254 DNO262254 DXK262254 EHG262254 ERC262254 FAY262254 FKU262254 FUQ262254 GEM262254 GOI262254 GYE262254 HIA262254 HRW262254 IBS262254 ILO262254 IVK262254 JFG262254 JPC262254 JYY262254 KIU262254 KSQ262254 LCM262254 LMI262254 LWE262254 MGA262254 MPW262254 MZS262254 NJO262254 NTK262254 ODG262254 ONC262254 OWY262254 PGU262254 PQQ262254 QAM262254 QKI262254 QUE262254 REA262254 RNW262254 RXS262254 SHO262254 SRK262254 TBG262254 TLC262254 TUY262254 UEU262254 UOQ262254 UYM262254 VII262254 VSE262254 WCA262254 WLW262254 K327790 JG327790 TC327790 ACY327790 AMU327790 AWQ327790 BGM327790 BQI327790 CAE327790 CKA327790 CTW327790 DDS327790 DNO327790 DXK327790 EHG327790 ERC327790 FAY327790 FKU327790 FUQ327790 GEM327790 GOI327790 GYE327790 HIA327790 HRW327790 IBS327790 ILO327790 IVK327790 JFG327790 JPC327790 JYY327790 KIU327790 KSQ327790 LCM327790 LMI327790 LWE327790 MGA327790 MPW327790 MZS327790 NJO327790 NTK327790 ODG327790 ONC327790 OWY327790 PGU327790 PQQ327790 QAM327790 QKI327790 QUE327790 REA327790 RNW327790 RXS327790 SHO327790 SRK327790 TBG327790 TLC327790 TUY327790 UEU327790 UOQ327790 UYM327790 VII327790 VSE327790 WCA327790 WLW327790 K393326 JG393326 TC393326 ACY393326 AMU393326 AWQ393326 BGM393326 BQI393326 CAE393326 CKA393326 CTW393326 DDS393326 DNO393326 DXK393326 EHG393326 ERC393326 FAY393326 FKU393326 FUQ393326 GEM393326 GOI393326 GYE393326 HIA393326 HRW393326 IBS393326 ILO393326 IVK393326 JFG393326 JPC393326 JYY393326 KIU393326 KSQ393326 LCM393326 LMI393326 LWE393326 MGA393326 MPW393326 MZS393326 NJO393326 NTK393326 ODG393326 ONC393326 OWY393326 PGU393326 PQQ393326 QAM393326 QKI393326 QUE393326 REA393326 RNW393326 RXS393326 SHO393326 SRK393326 TBG393326 TLC393326 TUY393326 UEU393326 UOQ393326 UYM393326 VII393326 VSE393326 WCA393326 WLW393326 K458862 JG458862 TC458862 ACY458862 AMU458862 AWQ458862 BGM458862 BQI458862 CAE458862 CKA458862 CTW458862 DDS458862 DNO458862 DXK458862 EHG458862 ERC458862 FAY458862 FKU458862 FUQ458862 GEM458862 GOI458862 GYE458862 HIA458862 HRW458862 IBS458862 ILO458862 IVK458862 JFG458862 JPC458862 JYY458862 KIU458862 KSQ458862 LCM458862 LMI458862 LWE458862 MGA458862 MPW458862 MZS458862 NJO458862 NTK458862 ODG458862 ONC458862 OWY458862 PGU458862 PQQ458862 QAM458862 QKI458862 QUE458862 REA458862 RNW458862 RXS458862 SHO458862 SRK458862 TBG458862 TLC458862 TUY458862 UEU458862 UOQ458862 UYM458862 VII458862 VSE458862 WCA458862 WLW458862 K524398 JG524398 TC524398 ACY524398 AMU524398 AWQ524398 BGM524398 BQI524398 CAE524398 CKA524398 CTW524398 DDS524398 DNO524398 DXK524398 EHG524398 ERC524398 FAY524398 FKU524398 FUQ524398 GEM524398 GOI524398 GYE524398 HIA524398 HRW524398 IBS524398 ILO524398 IVK524398 JFG524398 JPC524398 JYY524398 KIU524398 KSQ524398 LCM524398 LMI524398 LWE524398 MGA524398 MPW524398 MZS524398 NJO524398 NTK524398 ODG524398 ONC524398 OWY524398 PGU524398 PQQ524398 QAM524398 QKI524398 QUE524398 REA524398 RNW524398 RXS524398 SHO524398 SRK524398 TBG524398 TLC524398 TUY524398 UEU524398 UOQ524398 UYM524398 VII524398 VSE524398 WCA524398 WLW524398 K589934 JG589934 TC589934 ACY589934 AMU589934 AWQ589934 BGM589934 BQI589934 CAE589934 CKA589934 CTW589934 DDS589934 DNO589934 DXK589934 EHG589934 ERC589934 FAY589934 FKU589934 FUQ589934 GEM589934 GOI589934 GYE589934 HIA589934 HRW589934 IBS589934 ILO589934 IVK589934 JFG589934 JPC589934 JYY589934 KIU589934 KSQ589934 LCM589934 LMI589934 LWE589934 MGA589934 MPW589934 MZS589934 NJO589934 NTK589934 ODG589934 ONC589934 OWY589934 PGU589934 PQQ589934 QAM589934 QKI589934 QUE589934 REA589934 RNW589934 RXS589934 SHO589934 SRK589934 TBG589934 TLC589934 TUY589934 UEU589934 UOQ589934 UYM589934 VII589934 VSE589934 WCA589934 WLW589934 K655470 JG655470 TC655470 ACY655470 AMU655470 AWQ655470 BGM655470 BQI655470 CAE655470 CKA655470 CTW655470 DDS655470 DNO655470 DXK655470 EHG655470 ERC655470 FAY655470 FKU655470 FUQ655470 GEM655470 GOI655470 GYE655470 HIA655470 HRW655470 IBS655470 ILO655470 IVK655470 JFG655470 JPC655470 JYY655470 KIU655470 KSQ655470 LCM655470 LMI655470 LWE655470 MGA655470 MPW655470 MZS655470 NJO655470 NTK655470 ODG655470 ONC655470 OWY655470 PGU655470 PQQ655470 QAM655470 QKI655470 QUE655470 REA655470 RNW655470 RXS655470 SHO655470 SRK655470 TBG655470 TLC655470 TUY655470 UEU655470 UOQ655470 UYM655470 VII655470 VSE655470 WCA655470 WLW655470 K721006 JG721006 TC721006 ACY721006 AMU721006 AWQ721006 BGM721006 BQI721006 CAE721006 CKA721006 CTW721006 DDS721006 DNO721006 DXK721006 EHG721006 ERC721006 FAY721006 FKU721006 FUQ721006 GEM721006 GOI721006 GYE721006 HIA721006 HRW721006 IBS721006 ILO721006 IVK721006 JFG721006 JPC721006 JYY721006 KIU721006 KSQ721006 LCM721006 LMI721006 LWE721006 MGA721006 MPW721006 MZS721006 NJO721006 NTK721006 ODG721006 ONC721006 OWY721006 PGU721006 PQQ721006 QAM721006 QKI721006 QUE721006 REA721006 RNW721006 RXS721006 SHO721006 SRK721006 TBG721006 TLC721006 TUY721006 UEU721006 UOQ721006 UYM721006 VII721006 VSE721006 WCA721006 WLW721006 K786542 JG786542 TC786542 ACY786542 AMU786542 AWQ786542 BGM786542 BQI786542 CAE786542 CKA786542 CTW786542 DDS786542 DNO786542 DXK786542 EHG786542 ERC786542 FAY786542 FKU786542 FUQ786542 GEM786542 GOI786542 GYE786542 HIA786542 HRW786542 IBS786542 ILO786542 IVK786542 JFG786542 JPC786542 JYY786542 KIU786542 KSQ786542 LCM786542 LMI786542 LWE786542 MGA786542 MPW786542 MZS786542 NJO786542 NTK786542 ODG786542 ONC786542 OWY786542 PGU786542 PQQ786542 QAM786542 QKI786542 QUE786542 REA786542 RNW786542 RXS786542 SHO786542 SRK786542 TBG786542 TLC786542 TUY786542 UEU786542 UOQ786542 UYM786542 VII786542 VSE786542 WCA786542 WLW786542 K852078 JG852078 TC852078 ACY852078 AMU852078 AWQ852078 BGM852078 BQI852078 CAE852078 CKA852078 CTW852078 DDS852078 DNO852078 DXK852078 EHG852078 ERC852078 FAY852078 FKU852078 FUQ852078 GEM852078 GOI852078 GYE852078 HIA852078 HRW852078 IBS852078 ILO852078 IVK852078 JFG852078 JPC852078 JYY852078 KIU852078 KSQ852078 LCM852078 LMI852078 LWE852078 MGA852078 MPW852078 MZS852078 NJO852078 NTK852078 ODG852078 ONC852078 OWY852078 PGU852078 PQQ852078 QAM852078 QKI852078 QUE852078 REA852078 RNW852078 RXS852078 SHO852078 SRK852078 TBG852078 TLC852078 TUY852078 UEU852078 UOQ852078 UYM852078 VII852078 VSE852078 WCA852078 WLW852078 K917614 JG917614 TC917614 ACY917614 AMU917614 AWQ917614 BGM917614 BQI917614 CAE917614 CKA917614 CTW917614 DDS917614 DNO917614 DXK917614 EHG917614 ERC917614 FAY917614 FKU917614 FUQ917614 GEM917614 GOI917614 GYE917614 HIA917614 HRW917614 IBS917614 ILO917614 IVK917614 JFG917614 JPC917614 JYY917614 KIU917614 KSQ917614 LCM917614 LMI917614 LWE917614 MGA917614 MPW917614 MZS917614 NJO917614 NTK917614 ODG917614 ONC917614 OWY917614 PGU917614 PQQ917614 QAM917614 QKI917614 QUE917614 REA917614 RNW917614 RXS917614 SHO917614 SRK917614 TBG917614 TLC917614 TUY917614 UEU917614 UOQ917614 UYM917614 VII917614 VSE917614 WCA917614 WLW917614 K983150 JG983150 TC983150 ACY983150 AMU983150 AWQ983150 BGM983150 BQI983150 CAE983150 CKA983150 CTW983150 DDS983150 DNO983150 DXK983150 EHG983150 ERC983150 FAY983150 FKU983150 FUQ983150 GEM983150 GOI983150 GYE983150 HIA983150 HRW983150 IBS983150 ILO983150 IVK983150 JFG983150 JPC983150 JYY983150 KIU983150 KSQ983150 LCM983150 LMI983150 LWE983150 MGA983150 MPW983150 MZS983150 NJO983150 NTK983150 ODG983150 ONC983150 OWY983150 PGU983150 PQQ983150 QAM983150 QKI983150 QUE983150 REA983150 RNW983150 RXS983150 SHO983150 SRK983150 TBG983150 TLC983150 TUY983150 UEU983150 UOQ983150 UYM983150 VII983150 VSE983150 WCA983150 WLW983150">
      <formula1>"&lt;""""&gt; "</formula1>
      <formula2>0</formula2>
    </dataValidation>
  </dataValidations>
  <pageMargins left="0.511811024" right="0.511811024" top="0.78740157499999996" bottom="0.78740157499999996" header="0.31496062000000002" footer="0.31496062000000002"/>
  <pageSetup paperSize="9" scale="66" orientation="portrait" r:id="rId1"/>
  <rowBreaks count="1" manualBreakCount="1">
    <brk id="57" min="1" max="7"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100"/>
  <sheetViews>
    <sheetView view="pageBreakPreview" zoomScaleNormal="100" zoomScaleSheetLayoutView="100" workbookViewId="0">
      <selection activeCell="F105" sqref="F105"/>
    </sheetView>
  </sheetViews>
  <sheetFormatPr defaultRowHeight="12.75" x14ac:dyDescent="0.2"/>
  <cols>
    <col min="1" max="1" width="1.7109375" customWidth="1"/>
    <col min="2" max="2" width="44.28515625" customWidth="1"/>
    <col min="3" max="6" width="14.5703125" customWidth="1"/>
    <col min="7" max="7" width="15.140625" bestFit="1" customWidth="1"/>
  </cols>
  <sheetData>
    <row r="1" spans="2:7" ht="26.25" customHeight="1" x14ac:dyDescent="0.2">
      <c r="B1" s="1232" t="s">
        <v>471</v>
      </c>
      <c r="C1" s="1233"/>
      <c r="D1" s="1233"/>
      <c r="E1" s="1233"/>
      <c r="F1" s="1233"/>
      <c r="G1" s="1234"/>
    </row>
    <row r="2" spans="2:7" ht="38.25" customHeight="1" thickBot="1" x14ac:dyDescent="0.25">
      <c r="B2" s="1235" t="s">
        <v>506</v>
      </c>
      <c r="C2" s="1236"/>
      <c r="D2" s="1236"/>
      <c r="E2" s="1236"/>
      <c r="F2" s="1236"/>
      <c r="G2" s="1237"/>
    </row>
    <row r="3" spans="2:7" ht="38.25" customHeight="1" thickBot="1" x14ac:dyDescent="0.25">
      <c r="B3" s="1238" t="s">
        <v>416</v>
      </c>
      <c r="C3" s="1239"/>
      <c r="D3" s="1239"/>
      <c r="E3" s="1239"/>
      <c r="F3" s="1239"/>
      <c r="G3" s="1240"/>
    </row>
    <row r="4" spans="2:7" x14ac:dyDescent="0.2">
      <c r="B4" s="1241" t="s">
        <v>490</v>
      </c>
      <c r="C4" s="1242"/>
      <c r="D4" s="1242"/>
      <c r="E4" s="1242"/>
      <c r="F4" s="1242"/>
      <c r="G4" s="1243"/>
    </row>
    <row r="5" spans="2:7" ht="12.75" customHeight="1" thickBot="1" x14ac:dyDescent="0.25">
      <c r="B5" s="1244"/>
      <c r="C5" s="1245"/>
      <c r="D5" s="1245"/>
      <c r="E5" s="1245"/>
      <c r="F5" s="1245"/>
      <c r="G5" s="1246"/>
    </row>
    <row r="6" spans="2:7" ht="13.5" customHeight="1" thickBot="1" x14ac:dyDescent="0.25">
      <c r="B6" s="1134" t="s">
        <v>165</v>
      </c>
      <c r="C6" s="1136" t="s">
        <v>164</v>
      </c>
      <c r="D6" s="1138" t="s">
        <v>249</v>
      </c>
      <c r="E6" s="1136" t="s">
        <v>250</v>
      </c>
      <c r="F6" s="1138" t="s">
        <v>251</v>
      </c>
      <c r="G6" s="1140" t="s">
        <v>252</v>
      </c>
    </row>
    <row r="7" spans="2:7" ht="27" customHeight="1" thickBot="1" x14ac:dyDescent="0.25">
      <c r="B7" s="1135"/>
      <c r="C7" s="1137"/>
      <c r="D7" s="1139"/>
      <c r="E7" s="1137"/>
      <c r="F7" s="1139"/>
      <c r="G7" s="1141"/>
    </row>
    <row r="8" spans="2:7" ht="16.5" x14ac:dyDescent="0.3">
      <c r="B8" s="143" t="s">
        <v>163</v>
      </c>
      <c r="C8" s="144">
        <f ca="1">'Quadro Resumo M² - CEGUA'!C48</f>
        <v>0.24</v>
      </c>
      <c r="D8" s="145">
        <f>'Quadro Resumo M² - CEGUA'!D48</f>
        <v>273.97000000000003</v>
      </c>
      <c r="E8" s="633">
        <f t="shared" ref="E8:E13" ca="1" si="0">ROUND(D8*C8,2)</f>
        <v>65.75</v>
      </c>
      <c r="F8" s="145">
        <f>D8*12</f>
        <v>3287.64</v>
      </c>
      <c r="G8" s="634">
        <f ca="1">E8*12</f>
        <v>789</v>
      </c>
    </row>
    <row r="9" spans="2:7" ht="16.5" x14ac:dyDescent="0.3">
      <c r="B9" s="611" t="s">
        <v>161</v>
      </c>
      <c r="C9" s="144">
        <f ca="1">'Quadro Resumo M² - CEGUA'!C49</f>
        <v>0.14000000000000001</v>
      </c>
      <c r="D9" s="145">
        <f>'Quadro Resumo M² - CEGUA'!D49</f>
        <v>9323.57</v>
      </c>
      <c r="E9" s="633">
        <f t="shared" ca="1" si="0"/>
        <v>1305.3</v>
      </c>
      <c r="F9" s="145">
        <f t="shared" ref="F9:G13" si="1">D9*12</f>
        <v>111882.84</v>
      </c>
      <c r="G9" s="634">
        <f t="shared" ca="1" si="1"/>
        <v>15663.6</v>
      </c>
    </row>
    <row r="10" spans="2:7" ht="16.5" x14ac:dyDescent="0.3">
      <c r="B10" s="611" t="s">
        <v>405</v>
      </c>
      <c r="C10" s="144">
        <f ca="1">'Quadro Resumo M² - CEGUA'!C50</f>
        <v>0.09</v>
      </c>
      <c r="D10" s="145">
        <f>'Quadro Resumo M² - CEGUA'!D50</f>
        <v>43.93</v>
      </c>
      <c r="E10" s="633">
        <f t="shared" ca="1" si="0"/>
        <v>3.95</v>
      </c>
      <c r="F10" s="145">
        <f t="shared" si="1"/>
        <v>527.16</v>
      </c>
      <c r="G10" s="634">
        <f t="shared" ca="1" si="1"/>
        <v>47.4</v>
      </c>
    </row>
    <row r="11" spans="2:7" ht="16.5" x14ac:dyDescent="0.3">
      <c r="B11" s="611" t="s">
        <v>240</v>
      </c>
      <c r="C11" s="144">
        <f ca="1">'Quadro Resumo M² - CEGUA'!C51</f>
        <v>0.94</v>
      </c>
      <c r="D11" s="145">
        <f>'Quadro Resumo M² - CEGUA'!D51</f>
        <v>52.35</v>
      </c>
      <c r="E11" s="633">
        <f t="shared" ca="1" si="0"/>
        <v>49.21</v>
      </c>
      <c r="F11" s="145">
        <f t="shared" si="1"/>
        <v>628.20000000000005</v>
      </c>
      <c r="G11" s="634">
        <f t="shared" ca="1" si="1"/>
        <v>590.52</v>
      </c>
    </row>
    <row r="12" spans="2:7" s="625" customFormat="1" ht="15" x14ac:dyDescent="0.25">
      <c r="B12" s="635" t="s">
        <v>420</v>
      </c>
      <c r="C12" s="623">
        <f>'Quadro Resumo M² - CEGUA'!C52</f>
        <v>0</v>
      </c>
      <c r="D12" s="624">
        <f>'Quadro Resumo M² - CEGUA'!D52</f>
        <v>0</v>
      </c>
      <c r="E12" s="636">
        <f t="shared" si="0"/>
        <v>0</v>
      </c>
      <c r="F12" s="624">
        <f t="shared" si="1"/>
        <v>0</v>
      </c>
      <c r="G12" s="637">
        <f t="shared" si="1"/>
        <v>0</v>
      </c>
    </row>
    <row r="13" spans="2:7" ht="16.5" x14ac:dyDescent="0.3">
      <c r="B13" s="611" t="s">
        <v>243</v>
      </c>
      <c r="C13" s="144">
        <f ca="1">'Quadro Resumo M² - CEGUA'!C53</f>
        <v>0.45</v>
      </c>
      <c r="D13" s="145">
        <f>'Quadro Resumo M² - CEGUA'!D53</f>
        <v>11100</v>
      </c>
      <c r="E13" s="633">
        <f t="shared" ca="1" si="0"/>
        <v>4995</v>
      </c>
      <c r="F13" s="145">
        <f t="shared" si="1"/>
        <v>133200</v>
      </c>
      <c r="G13" s="634">
        <f t="shared" ca="1" si="1"/>
        <v>59940</v>
      </c>
    </row>
    <row r="14" spans="2:7" ht="16.5" x14ac:dyDescent="0.3">
      <c r="B14" s="1247" t="s">
        <v>426</v>
      </c>
      <c r="C14" s="1248"/>
      <c r="D14" s="1248"/>
      <c r="E14" s="1248"/>
      <c r="F14" s="1248"/>
      <c r="G14" s="638">
        <f ca="1">SUM(E8:E13)</f>
        <v>6419.21</v>
      </c>
    </row>
    <row r="15" spans="2:7" ht="17.25" thickBot="1" x14ac:dyDescent="0.35">
      <c r="B15" s="1258" t="s">
        <v>429</v>
      </c>
      <c r="C15" s="1259"/>
      <c r="D15" s="1259"/>
      <c r="E15" s="1259"/>
      <c r="F15" s="1259"/>
      <c r="G15" s="432">
        <f ca="1">G14*12</f>
        <v>77030.52</v>
      </c>
    </row>
    <row r="16" spans="2:7" ht="16.5" x14ac:dyDescent="0.2">
      <c r="B16" s="1186" t="s">
        <v>427</v>
      </c>
      <c r="C16" s="1187"/>
      <c r="D16" s="1187"/>
      <c r="E16" s="1187"/>
      <c r="F16" s="1187"/>
      <c r="G16" s="639">
        <f>'Insumos Diversos'!D136</f>
        <v>0</v>
      </c>
    </row>
    <row r="17" spans="2:7" ht="17.25" thickBot="1" x14ac:dyDescent="0.35">
      <c r="B17" s="929" t="s">
        <v>434</v>
      </c>
      <c r="C17" s="930"/>
      <c r="D17" s="930"/>
      <c r="E17" s="930"/>
      <c r="F17" s="930"/>
      <c r="G17" s="418">
        <f>G16*12</f>
        <v>0</v>
      </c>
    </row>
    <row r="18" spans="2:7" ht="16.5" x14ac:dyDescent="0.3">
      <c r="B18" s="1188" t="s">
        <v>503</v>
      </c>
      <c r="C18" s="1189"/>
      <c r="D18" s="1189"/>
      <c r="E18" s="1189"/>
      <c r="F18" s="1190"/>
      <c r="G18" s="416">
        <f ca="1">SUM(G14,G16)</f>
        <v>6419.21</v>
      </c>
    </row>
    <row r="19" spans="2:7" ht="17.25" thickBot="1" x14ac:dyDescent="0.35">
      <c r="B19" s="1230" t="s">
        <v>504</v>
      </c>
      <c r="C19" s="1231"/>
      <c r="D19" s="1231"/>
      <c r="E19" s="1231"/>
      <c r="F19" s="1231"/>
      <c r="G19" s="433">
        <f ca="1">G18*12</f>
        <v>77030.52</v>
      </c>
    </row>
    <row r="20" spans="2:7" ht="16.5" x14ac:dyDescent="0.2">
      <c r="B20" s="1260" t="s">
        <v>175</v>
      </c>
      <c r="C20" s="1261"/>
      <c r="D20" s="1261"/>
      <c r="E20" s="1261"/>
      <c r="F20" s="1261"/>
      <c r="G20" s="629">
        <f>'Quadro Resumo M² - CEGUA'!F14</f>
        <v>1</v>
      </c>
    </row>
    <row r="21" spans="2:7" ht="16.5" x14ac:dyDescent="0.2">
      <c r="B21" s="1221" t="s">
        <v>216</v>
      </c>
      <c r="C21" s="1222"/>
      <c r="D21" s="1222"/>
      <c r="E21" s="1222"/>
      <c r="F21" s="1223"/>
      <c r="G21" s="630">
        <f>'Quadro Resumo M² - CEGUA'!F15</f>
        <v>1</v>
      </c>
    </row>
    <row r="22" spans="2:7" ht="17.25" thickBot="1" x14ac:dyDescent="0.25">
      <c r="B22" s="1180" t="s">
        <v>421</v>
      </c>
      <c r="C22" s="1196"/>
      <c r="D22" s="1196"/>
      <c r="E22" s="1196"/>
      <c r="F22" s="1197"/>
      <c r="G22" s="146">
        <f>SUM(G20:G21)</f>
        <v>2</v>
      </c>
    </row>
    <row r="23" spans="2:7" x14ac:dyDescent="0.2">
      <c r="B23" s="1224" t="s">
        <v>491</v>
      </c>
      <c r="C23" s="1225"/>
      <c r="D23" s="1225"/>
      <c r="E23" s="1225"/>
      <c r="F23" s="1225"/>
      <c r="G23" s="1226"/>
    </row>
    <row r="24" spans="2:7" ht="13.5" thickBot="1" x14ac:dyDescent="0.25">
      <c r="B24" s="1227"/>
      <c r="C24" s="1228"/>
      <c r="D24" s="1228"/>
      <c r="E24" s="1228"/>
      <c r="F24" s="1228"/>
      <c r="G24" s="1229"/>
    </row>
    <row r="25" spans="2:7" ht="13.5" thickBot="1" x14ac:dyDescent="0.25">
      <c r="B25" s="1134" t="s">
        <v>165</v>
      </c>
      <c r="C25" s="1136" t="s">
        <v>164</v>
      </c>
      <c r="D25" s="1138" t="s">
        <v>249</v>
      </c>
      <c r="E25" s="1136" t="s">
        <v>250</v>
      </c>
      <c r="F25" s="1138" t="s">
        <v>251</v>
      </c>
      <c r="G25" s="1140" t="s">
        <v>252</v>
      </c>
    </row>
    <row r="26" spans="2:7" ht="27" customHeight="1" thickBot="1" x14ac:dyDescent="0.25">
      <c r="B26" s="1135"/>
      <c r="C26" s="1137"/>
      <c r="D26" s="1139"/>
      <c r="E26" s="1137"/>
      <c r="F26" s="1139"/>
      <c r="G26" s="1141"/>
    </row>
    <row r="27" spans="2:7" ht="16.5" customHeight="1" x14ac:dyDescent="0.3">
      <c r="B27" s="143" t="s">
        <v>163</v>
      </c>
      <c r="C27" s="144">
        <f ca="1">'Quadro Resumo M² - CEPIR'!C53</f>
        <v>0.3</v>
      </c>
      <c r="D27" s="145">
        <f>'Quadro Resumo M² - CEPIR'!D53</f>
        <v>632.55999999999995</v>
      </c>
      <c r="E27" s="633">
        <f t="shared" ref="E27:E32" ca="1" si="2">ROUND(D27*C27,2)</f>
        <v>189.77</v>
      </c>
      <c r="F27" s="145">
        <f>D27*12</f>
        <v>7590.72</v>
      </c>
      <c r="G27" s="634">
        <f ca="1">E27*12</f>
        <v>2277.2399999999998</v>
      </c>
    </row>
    <row r="28" spans="2:7" ht="16.5" customHeight="1" x14ac:dyDescent="0.3">
      <c r="B28" s="611" t="s">
        <v>161</v>
      </c>
      <c r="C28" s="144">
        <f ca="1">'Quadro Resumo M² - CEPIR'!C54</f>
        <v>0.5</v>
      </c>
      <c r="D28" s="145">
        <f>'Quadro Resumo M² - CEPIR'!D54</f>
        <v>18822.37</v>
      </c>
      <c r="E28" s="633">
        <f t="shared" ca="1" si="2"/>
        <v>9411.19</v>
      </c>
      <c r="F28" s="145">
        <f t="shared" ref="F28:G32" si="3">D28*12</f>
        <v>225868.44</v>
      </c>
      <c r="G28" s="634">
        <f t="shared" ca="1" si="3"/>
        <v>112934.28</v>
      </c>
    </row>
    <row r="29" spans="2:7" ht="16.5" customHeight="1" x14ac:dyDescent="0.3">
      <c r="B29" s="611" t="s">
        <v>405</v>
      </c>
      <c r="C29" s="144">
        <f ca="1">'Quadro Resumo M² - CEPIR'!C55</f>
        <v>0.18</v>
      </c>
      <c r="D29" s="145">
        <f>'Quadro Resumo M² - CEPIR'!D55</f>
        <v>65.709999999999994</v>
      </c>
      <c r="E29" s="633">
        <f t="shared" ca="1" si="2"/>
        <v>11.83</v>
      </c>
      <c r="F29" s="145">
        <f t="shared" si="3"/>
        <v>788.52</v>
      </c>
      <c r="G29" s="634">
        <f t="shared" ca="1" si="3"/>
        <v>141.96</v>
      </c>
    </row>
    <row r="30" spans="2:7" ht="16.5" customHeight="1" x14ac:dyDescent="0.3">
      <c r="B30" s="611" t="s">
        <v>240</v>
      </c>
      <c r="C30" s="144">
        <f ca="1">'Quadro Resumo M² - CEPIR'!C56</f>
        <v>1.19</v>
      </c>
      <c r="D30" s="145">
        <f>'Quadro Resumo M² - CEPIR'!D56</f>
        <v>54.58</v>
      </c>
      <c r="E30" s="633">
        <f t="shared" ca="1" si="2"/>
        <v>64.95</v>
      </c>
      <c r="F30" s="145">
        <f t="shared" si="3"/>
        <v>654.96</v>
      </c>
      <c r="G30" s="634">
        <f t="shared" ca="1" si="3"/>
        <v>779.4</v>
      </c>
    </row>
    <row r="31" spans="2:7" s="625" customFormat="1" ht="16.5" customHeight="1" x14ac:dyDescent="0.25">
      <c r="B31" s="635" t="s">
        <v>404</v>
      </c>
      <c r="C31" s="623">
        <f ca="1">'Quadro Resumo M² - CEPIR'!C57</f>
        <v>0</v>
      </c>
      <c r="D31" s="624">
        <f>'Quadro Resumo M² - CEPIR'!D57</f>
        <v>0</v>
      </c>
      <c r="E31" s="636">
        <f t="shared" ca="1" si="2"/>
        <v>0</v>
      </c>
      <c r="F31" s="624">
        <f t="shared" si="3"/>
        <v>0</v>
      </c>
      <c r="G31" s="637">
        <f t="shared" ca="1" si="3"/>
        <v>0</v>
      </c>
    </row>
    <row r="32" spans="2:7" ht="16.5" customHeight="1" x14ac:dyDescent="0.3">
      <c r="B32" s="640" t="s">
        <v>243</v>
      </c>
      <c r="C32" s="144">
        <f ca="1">'Quadro Resumo M² - CEPIR'!C58</f>
        <v>0.21</v>
      </c>
      <c r="D32" s="385">
        <f>'Quadro Resumo M² - CEPIR'!D58</f>
        <v>22000</v>
      </c>
      <c r="E32" s="641">
        <f t="shared" ca="1" si="2"/>
        <v>4620</v>
      </c>
      <c r="F32" s="385">
        <f t="shared" si="3"/>
        <v>264000</v>
      </c>
      <c r="G32" s="642">
        <f t="shared" ca="1" si="3"/>
        <v>55440</v>
      </c>
    </row>
    <row r="33" spans="2:7" ht="16.5" x14ac:dyDescent="0.2">
      <c r="B33" s="1251" t="s">
        <v>418</v>
      </c>
      <c r="C33" s="1252"/>
      <c r="D33" s="1252"/>
      <c r="E33" s="1252"/>
      <c r="F33" s="1252"/>
      <c r="G33" s="643">
        <f ca="1">SUM(E27:E32)</f>
        <v>14297.74</v>
      </c>
    </row>
    <row r="34" spans="2:7" ht="17.25" thickBot="1" x14ac:dyDescent="0.35">
      <c r="B34" s="1183" t="s">
        <v>429</v>
      </c>
      <c r="C34" s="1184"/>
      <c r="D34" s="1184"/>
      <c r="E34" s="1184"/>
      <c r="F34" s="1185"/>
      <c r="G34" s="432">
        <f ca="1">SUM(G27:G32)</f>
        <v>171572.88</v>
      </c>
    </row>
    <row r="35" spans="2:7" ht="16.5" x14ac:dyDescent="0.3">
      <c r="B35" s="1186" t="s">
        <v>427</v>
      </c>
      <c r="C35" s="1187"/>
      <c r="D35" s="1187"/>
      <c r="E35" s="1187"/>
      <c r="F35" s="1187"/>
      <c r="G35" s="644">
        <f>'Quadro Resumo M² - CEPIR'!G61</f>
        <v>0</v>
      </c>
    </row>
    <row r="36" spans="2:7" ht="17.25" thickBot="1" x14ac:dyDescent="0.35">
      <c r="B36" s="929" t="s">
        <v>434</v>
      </c>
      <c r="C36" s="930"/>
      <c r="D36" s="930"/>
      <c r="E36" s="930"/>
      <c r="F36" s="930"/>
      <c r="G36" s="437">
        <f>G35*12</f>
        <v>0</v>
      </c>
    </row>
    <row r="37" spans="2:7" ht="16.5" x14ac:dyDescent="0.3">
      <c r="B37" s="1255" t="s">
        <v>428</v>
      </c>
      <c r="C37" s="1256"/>
      <c r="D37" s="1256"/>
      <c r="E37" s="1256"/>
      <c r="F37" s="1257"/>
      <c r="G37" s="645">
        <f ca="1">'Ajud. de Serv. Diversos_CEPIR'!G142</f>
        <v>4483.5600000000004</v>
      </c>
    </row>
    <row r="38" spans="2:7" ht="17.25" thickBot="1" x14ac:dyDescent="0.35">
      <c r="B38" s="1216" t="s">
        <v>430</v>
      </c>
      <c r="C38" s="1217"/>
      <c r="D38" s="1217"/>
      <c r="E38" s="1217"/>
      <c r="F38" s="1218"/>
      <c r="G38" s="438">
        <f ca="1">G37*12</f>
        <v>53802.720000000001</v>
      </c>
    </row>
    <row r="39" spans="2:7" ht="16.5" x14ac:dyDescent="0.3">
      <c r="B39" s="1188" t="s">
        <v>431</v>
      </c>
      <c r="C39" s="1189"/>
      <c r="D39" s="1189"/>
      <c r="E39" s="1189"/>
      <c r="F39" s="1190"/>
      <c r="G39" s="646">
        <f ca="1">SUM(G33,G35,G37)</f>
        <v>18781.3</v>
      </c>
    </row>
    <row r="40" spans="2:7" ht="17.25" thickBot="1" x14ac:dyDescent="0.35">
      <c r="B40" s="1213" t="s">
        <v>432</v>
      </c>
      <c r="C40" s="1192"/>
      <c r="D40" s="1192"/>
      <c r="E40" s="1192"/>
      <c r="F40" s="1192"/>
      <c r="G40" s="626">
        <f ca="1">G39*12</f>
        <v>225375.6</v>
      </c>
    </row>
    <row r="41" spans="2:7" ht="16.5" x14ac:dyDescent="0.2">
      <c r="B41" s="1253" t="str">
        <f>'Agente de Higienização_CEPIR'!F16</f>
        <v>Agente de Higienização</v>
      </c>
      <c r="C41" s="1254"/>
      <c r="D41" s="1254"/>
      <c r="E41" s="1254"/>
      <c r="F41" s="1254"/>
      <c r="G41" s="629">
        <f>'Agente de Higienização_CEPIR'!F22</f>
        <v>5</v>
      </c>
    </row>
    <row r="42" spans="2:7" ht="16.5" x14ac:dyDescent="0.2">
      <c r="B42" s="1249" t="str">
        <f>Jardineiro_CEPIR!F16</f>
        <v>Jardineiro</v>
      </c>
      <c r="C42" s="1250"/>
      <c r="D42" s="1250"/>
      <c r="E42" s="1250"/>
      <c r="F42" s="1250"/>
      <c r="G42" s="630">
        <f>Jardineiro_CEPIR!F22</f>
        <v>1</v>
      </c>
    </row>
    <row r="43" spans="2:7" ht="16.5" x14ac:dyDescent="0.2">
      <c r="B43" s="1249" t="str">
        <f>'Ajud. de Serv. Diversos_CEPIR'!F16</f>
        <v>Ajudante de Serviços Diversos</v>
      </c>
      <c r="C43" s="1250"/>
      <c r="D43" s="1250"/>
      <c r="E43" s="1250"/>
      <c r="F43" s="1250"/>
      <c r="G43" s="630">
        <f>'Ajud. de Serv. Diversos_CEPIR'!F22</f>
        <v>1</v>
      </c>
    </row>
    <row r="44" spans="2:7" ht="17.25" thickBot="1" x14ac:dyDescent="0.25">
      <c r="B44" s="1219" t="s">
        <v>446</v>
      </c>
      <c r="C44" s="1220"/>
      <c r="D44" s="1220"/>
      <c r="E44" s="1220"/>
      <c r="F44" s="1220"/>
      <c r="G44" s="146">
        <f>SUM(G41:G43)</f>
        <v>7</v>
      </c>
    </row>
    <row r="45" spans="2:7" x14ac:dyDescent="0.2">
      <c r="B45" s="1209" t="s">
        <v>492</v>
      </c>
      <c r="C45" s="1210"/>
      <c r="D45" s="1210"/>
      <c r="E45" s="1210"/>
      <c r="F45" s="1210"/>
      <c r="G45" s="1211"/>
    </row>
    <row r="46" spans="2:7" ht="13.5" thickBot="1" x14ac:dyDescent="0.25">
      <c r="B46" s="1201"/>
      <c r="C46" s="1202"/>
      <c r="D46" s="1202"/>
      <c r="E46" s="1202"/>
      <c r="F46" s="1202"/>
      <c r="G46" s="1203"/>
    </row>
    <row r="47" spans="2:7" ht="13.5" thickBot="1" x14ac:dyDescent="0.25">
      <c r="B47" s="1134" t="s">
        <v>165</v>
      </c>
      <c r="C47" s="1136" t="s">
        <v>164</v>
      </c>
      <c r="D47" s="1138" t="s">
        <v>249</v>
      </c>
      <c r="E47" s="1136" t="s">
        <v>250</v>
      </c>
      <c r="F47" s="1138" t="s">
        <v>251</v>
      </c>
      <c r="G47" s="1140" t="s">
        <v>252</v>
      </c>
    </row>
    <row r="48" spans="2:7" ht="27" customHeight="1" thickBot="1" x14ac:dyDescent="0.25">
      <c r="B48" s="1135"/>
      <c r="C48" s="1137"/>
      <c r="D48" s="1139"/>
      <c r="E48" s="1137"/>
      <c r="F48" s="1139"/>
      <c r="G48" s="1141"/>
    </row>
    <row r="49" spans="2:8" ht="16.5" x14ac:dyDescent="0.3">
      <c r="B49" s="143" t="s">
        <v>163</v>
      </c>
      <c r="C49" s="144">
        <f ca="1">'Quadro Resumo M² - CESJC'!C64</f>
        <v>0.74</v>
      </c>
      <c r="D49" s="145">
        <f>'Quadro Resumo M² - CESJC'!D64</f>
        <v>613.65</v>
      </c>
      <c r="E49" s="633">
        <f t="shared" ref="E49:E54" ca="1" si="4">ROUND(D49*C49,2)</f>
        <v>454.1</v>
      </c>
      <c r="F49" s="145">
        <f>D49*12</f>
        <v>7363.8</v>
      </c>
      <c r="G49" s="634">
        <f ca="1">E49*12</f>
        <v>5449.2</v>
      </c>
    </row>
    <row r="50" spans="2:8" ht="16.5" x14ac:dyDescent="0.3">
      <c r="B50" s="611" t="s">
        <v>161</v>
      </c>
      <c r="C50" s="144">
        <f ca="1">'Quadro Resumo M² - CESJC'!C65</f>
        <v>0.63</v>
      </c>
      <c r="D50" s="145">
        <f>'Quadro Resumo M² - CESJC'!D65</f>
        <v>50562.16</v>
      </c>
      <c r="E50" s="633">
        <f t="shared" ca="1" si="4"/>
        <v>31854.16</v>
      </c>
      <c r="F50" s="145">
        <f t="shared" ref="F50:G54" si="5">D50*12</f>
        <v>606745.92000000004</v>
      </c>
      <c r="G50" s="634">
        <f t="shared" ca="1" si="5"/>
        <v>382249.92</v>
      </c>
    </row>
    <row r="51" spans="2:8" ht="16.5" x14ac:dyDescent="0.3">
      <c r="B51" s="611" t="s">
        <v>417</v>
      </c>
      <c r="C51" s="144">
        <f ca="1">'Quadro Resumo M² - CESJC'!C66</f>
        <v>0.53</v>
      </c>
      <c r="D51" s="145">
        <f>'Quadro Resumo M² - CESJC'!D66</f>
        <v>82.84</v>
      </c>
      <c r="E51" s="633">
        <f t="shared" ca="1" si="4"/>
        <v>43.91</v>
      </c>
      <c r="F51" s="145">
        <f t="shared" si="5"/>
        <v>994.08</v>
      </c>
      <c r="G51" s="634">
        <f t="shared" ca="1" si="5"/>
        <v>526.91999999999996</v>
      </c>
    </row>
    <row r="52" spans="2:8" ht="16.5" x14ac:dyDescent="0.3">
      <c r="B52" s="611" t="s">
        <v>240</v>
      </c>
      <c r="C52" s="144">
        <f ca="1">'Quadro Resumo M² - CESJC'!C67</f>
        <v>1.93</v>
      </c>
      <c r="D52" s="145">
        <f>'Quadro Resumo M² - CESJC'!D67</f>
        <v>51.67</v>
      </c>
      <c r="E52" s="633">
        <f t="shared" ca="1" si="4"/>
        <v>99.72</v>
      </c>
      <c r="F52" s="145">
        <f t="shared" si="5"/>
        <v>620.04</v>
      </c>
      <c r="G52" s="634">
        <f t="shared" ca="1" si="5"/>
        <v>1196.6400000000001</v>
      </c>
    </row>
    <row r="53" spans="2:8" ht="16.5" x14ac:dyDescent="0.3">
      <c r="B53" s="611" t="s">
        <v>419</v>
      </c>
      <c r="C53" s="144">
        <f ca="1">'Quadro Resumo M² - CESJC'!C68</f>
        <v>1.98</v>
      </c>
      <c r="D53" s="145">
        <f>'Quadro Resumo M² - CESJC'!D68</f>
        <v>88.82</v>
      </c>
      <c r="E53" s="633">
        <f t="shared" ca="1" si="4"/>
        <v>175.86</v>
      </c>
      <c r="F53" s="145">
        <f t="shared" si="5"/>
        <v>1065.8399999999999</v>
      </c>
      <c r="G53" s="634">
        <f t="shared" ca="1" si="5"/>
        <v>2110.3200000000002</v>
      </c>
    </row>
    <row r="54" spans="2:8" ht="16.5" x14ac:dyDescent="0.3">
      <c r="B54" s="640" t="s">
        <v>243</v>
      </c>
      <c r="C54" s="144">
        <f ca="1">'Quadro Resumo M² - CESJC'!C69</f>
        <v>0.28000000000000003</v>
      </c>
      <c r="D54" s="385">
        <f>'Quadro Resumo M² - CESJC'!D69</f>
        <v>16000</v>
      </c>
      <c r="E54" s="641">
        <f t="shared" ca="1" si="4"/>
        <v>4480</v>
      </c>
      <c r="F54" s="385">
        <f t="shared" si="5"/>
        <v>192000</v>
      </c>
      <c r="G54" s="642">
        <f t="shared" ca="1" si="5"/>
        <v>53760</v>
      </c>
    </row>
    <row r="55" spans="2:8" ht="16.5" x14ac:dyDescent="0.3">
      <c r="B55" s="1214" t="s">
        <v>418</v>
      </c>
      <c r="C55" s="1215"/>
      <c r="D55" s="1215"/>
      <c r="E55" s="1215"/>
      <c r="F55" s="1215"/>
      <c r="G55" s="647">
        <f ca="1">SUM(E49:E54)</f>
        <v>37107.75</v>
      </c>
    </row>
    <row r="56" spans="2:8" ht="17.25" thickBot="1" x14ac:dyDescent="0.35">
      <c r="B56" s="1183" t="s">
        <v>429</v>
      </c>
      <c r="C56" s="1184"/>
      <c r="D56" s="1184"/>
      <c r="E56" s="1184"/>
      <c r="F56" s="1185"/>
      <c r="G56" s="386">
        <f ca="1">G55*12</f>
        <v>445293</v>
      </c>
    </row>
    <row r="57" spans="2:8" ht="16.5" x14ac:dyDescent="0.3">
      <c r="B57" s="1186" t="s">
        <v>427</v>
      </c>
      <c r="C57" s="1187"/>
      <c r="D57" s="1187"/>
      <c r="E57" s="1187"/>
      <c r="F57" s="1187"/>
      <c r="G57" s="644">
        <f>'Quadro Resumo M² - CESJC'!G72</f>
        <v>0</v>
      </c>
    </row>
    <row r="58" spans="2:8" ht="17.25" thickBot="1" x14ac:dyDescent="0.35">
      <c r="B58" s="929" t="s">
        <v>434</v>
      </c>
      <c r="C58" s="930"/>
      <c r="D58" s="930"/>
      <c r="E58" s="930"/>
      <c r="F58" s="930"/>
      <c r="G58" s="437">
        <f>G57*12</f>
        <v>0</v>
      </c>
    </row>
    <row r="59" spans="2:8" ht="16.5" x14ac:dyDescent="0.3">
      <c r="B59" s="1188" t="s">
        <v>503</v>
      </c>
      <c r="C59" s="1189"/>
      <c r="D59" s="1189"/>
      <c r="E59" s="1189"/>
      <c r="F59" s="1190"/>
      <c r="G59" s="646">
        <f ca="1">SUM(G55,G57)</f>
        <v>37107.75</v>
      </c>
    </row>
    <row r="60" spans="2:8" ht="17.25" thickBot="1" x14ac:dyDescent="0.35">
      <c r="B60" s="1213" t="s">
        <v>504</v>
      </c>
      <c r="C60" s="1192"/>
      <c r="D60" s="1192"/>
      <c r="E60" s="1192"/>
      <c r="F60" s="1192"/>
      <c r="G60" s="626">
        <f ca="1">G59*12</f>
        <v>445293</v>
      </c>
    </row>
    <row r="61" spans="2:8" ht="16.5" x14ac:dyDescent="0.2">
      <c r="B61" s="1168" t="str">
        <f>'Quadro Resumo M² - CESJC'!B14</f>
        <v>Agente de Higienização - Diuturno</v>
      </c>
      <c r="C61" s="1169"/>
      <c r="D61" s="1169"/>
      <c r="E61" s="1169"/>
      <c r="F61" s="1169"/>
      <c r="G61" s="627">
        <f>'Quadro Resumo M² - CESJC'!F14</f>
        <v>2</v>
      </c>
    </row>
    <row r="62" spans="2:8" ht="16.5" x14ac:dyDescent="0.2">
      <c r="B62" s="1212" t="str">
        <f>'Quadro Resumo M² - CESJC'!B15</f>
        <v>Agente de Higienização</v>
      </c>
      <c r="C62" s="1171"/>
      <c r="D62" s="1171"/>
      <c r="E62" s="1171"/>
      <c r="F62" s="1171"/>
      <c r="G62" s="628">
        <f>'Quadro Resumo M² - CESJC'!F15</f>
        <v>7</v>
      </c>
      <c r="H62" s="631">
        <f>SUM(G61:G62)</f>
        <v>9</v>
      </c>
    </row>
    <row r="63" spans="2:8" ht="16.5" x14ac:dyDescent="0.2">
      <c r="B63" s="1212" t="str">
        <f>'Quadro Resumo M² - CESJC'!B16</f>
        <v>Jardineiro</v>
      </c>
      <c r="C63" s="1171"/>
      <c r="D63" s="1171"/>
      <c r="E63" s="1171"/>
      <c r="F63" s="1171"/>
      <c r="G63" s="628">
        <f>'Quadro Resumo M² - CESJC'!F16</f>
        <v>1</v>
      </c>
    </row>
    <row r="64" spans="2:8" ht="16.5" x14ac:dyDescent="0.2">
      <c r="B64" s="1206" t="str">
        <f>'Quadro Resumo M² - CESJC'!B17</f>
        <v>Agente de Higienização - Líder</v>
      </c>
      <c r="C64" s="1207"/>
      <c r="D64" s="1207"/>
      <c r="E64" s="1207"/>
      <c r="F64" s="1208"/>
      <c r="G64" s="527">
        <f>'Quadro Resumo M² - CESJC'!F17</f>
        <v>1</v>
      </c>
    </row>
    <row r="65" spans="2:7" ht="17.25" thickBot="1" x14ac:dyDescent="0.25">
      <c r="B65" s="1180" t="s">
        <v>446</v>
      </c>
      <c r="C65" s="1196"/>
      <c r="D65" s="1196"/>
      <c r="E65" s="1196"/>
      <c r="F65" s="1197"/>
      <c r="G65" s="146">
        <f>SUM(G61:G64)</f>
        <v>11</v>
      </c>
    </row>
    <row r="66" spans="2:7" x14ac:dyDescent="0.2">
      <c r="B66" s="1198" t="s">
        <v>493</v>
      </c>
      <c r="C66" s="1199"/>
      <c r="D66" s="1199"/>
      <c r="E66" s="1199"/>
      <c r="F66" s="1199"/>
      <c r="G66" s="1200"/>
    </row>
    <row r="67" spans="2:7" ht="13.5" thickBot="1" x14ac:dyDescent="0.25">
      <c r="B67" s="1201"/>
      <c r="C67" s="1202"/>
      <c r="D67" s="1202"/>
      <c r="E67" s="1202"/>
      <c r="F67" s="1202"/>
      <c r="G67" s="1203"/>
    </row>
    <row r="68" spans="2:7" ht="13.5" thickBot="1" x14ac:dyDescent="0.25">
      <c r="B68" s="1134" t="s">
        <v>165</v>
      </c>
      <c r="C68" s="1136" t="s">
        <v>164</v>
      </c>
      <c r="D68" s="1138" t="s">
        <v>249</v>
      </c>
      <c r="E68" s="1136" t="s">
        <v>250</v>
      </c>
      <c r="F68" s="1138" t="s">
        <v>251</v>
      </c>
      <c r="G68" s="1140" t="s">
        <v>252</v>
      </c>
    </row>
    <row r="69" spans="2:7" ht="27.75" customHeight="1" thickBot="1" x14ac:dyDescent="0.25">
      <c r="B69" s="1135"/>
      <c r="C69" s="1137"/>
      <c r="D69" s="1139"/>
      <c r="E69" s="1137"/>
      <c r="F69" s="1139"/>
      <c r="G69" s="1141"/>
    </row>
    <row r="70" spans="2:7" ht="16.5" x14ac:dyDescent="0.3">
      <c r="B70" s="143" t="s">
        <v>163</v>
      </c>
      <c r="C70" s="144">
        <f ca="1">'Quadro Resumo M² - CESOR'!C69</f>
        <v>0.76</v>
      </c>
      <c r="D70" s="145">
        <f>'Quadro Resumo M² - CESOR'!D69</f>
        <v>355.6</v>
      </c>
      <c r="E70" s="648">
        <f t="shared" ref="E70:E75" ca="1" si="6">ROUND(D70*C70,2)</f>
        <v>270.26</v>
      </c>
      <c r="F70" s="145">
        <f>D70*12</f>
        <v>4267.2</v>
      </c>
      <c r="G70" s="649">
        <f ca="1">E70*12</f>
        <v>3243.12</v>
      </c>
    </row>
    <row r="71" spans="2:7" ht="16.5" x14ac:dyDescent="0.3">
      <c r="B71" s="650" t="s">
        <v>161</v>
      </c>
      <c r="C71" s="144">
        <f ca="1">'Quadro Resumo M² - CESOR'!C70</f>
        <v>0.59</v>
      </c>
      <c r="D71" s="145">
        <f>'Quadro Resumo M² - CESOR'!D70</f>
        <v>75915.039999999994</v>
      </c>
      <c r="E71" s="648">
        <f t="shared" ca="1" si="6"/>
        <v>44789.87</v>
      </c>
      <c r="F71" s="145">
        <f t="shared" ref="F71:F75" si="7">D71*12</f>
        <v>910980.48</v>
      </c>
      <c r="G71" s="649">
        <f t="shared" ref="G71:G75" ca="1" si="8">E71*12</f>
        <v>537478.43999999994</v>
      </c>
    </row>
    <row r="72" spans="2:7" ht="16.5" x14ac:dyDescent="0.3">
      <c r="B72" s="650" t="s">
        <v>417</v>
      </c>
      <c r="C72" s="144">
        <f ca="1">'Quadro Resumo M² - CESOR'!C71</f>
        <v>0.54</v>
      </c>
      <c r="D72" s="145">
        <f>'Quadro Resumo M² - CESOR'!D71</f>
        <v>110.94</v>
      </c>
      <c r="E72" s="648">
        <f t="shared" ca="1" si="6"/>
        <v>59.91</v>
      </c>
      <c r="F72" s="145">
        <f t="shared" si="7"/>
        <v>1331.28</v>
      </c>
      <c r="G72" s="649">
        <f t="shared" ca="1" si="8"/>
        <v>718.92</v>
      </c>
    </row>
    <row r="73" spans="2:7" ht="16.5" x14ac:dyDescent="0.3">
      <c r="B73" s="650" t="s">
        <v>240</v>
      </c>
      <c r="C73" s="144">
        <f ca="1">'Quadro Resumo M² - CESOR'!C72</f>
        <v>2.09</v>
      </c>
      <c r="D73" s="145">
        <f>'Quadro Resumo M² - CESOR'!D72</f>
        <v>52.54</v>
      </c>
      <c r="E73" s="648">
        <f t="shared" ca="1" si="6"/>
        <v>109.81</v>
      </c>
      <c r="F73" s="145">
        <f t="shared" si="7"/>
        <v>630.48</v>
      </c>
      <c r="G73" s="649">
        <f t="shared" ca="1" si="8"/>
        <v>1317.72</v>
      </c>
    </row>
    <row r="74" spans="2:7" ht="16.5" x14ac:dyDescent="0.3">
      <c r="B74" s="650" t="s">
        <v>419</v>
      </c>
      <c r="C74" s="144">
        <f ca="1">'Quadro Resumo M² - CESOR'!C73</f>
        <v>2.1</v>
      </c>
      <c r="D74" s="145">
        <f>'Quadro Resumo M² - CESOR'!D73</f>
        <v>145.28</v>
      </c>
      <c r="E74" s="648">
        <f t="shared" ca="1" si="6"/>
        <v>305.08999999999997</v>
      </c>
      <c r="F74" s="145">
        <f t="shared" si="7"/>
        <v>1743.36</v>
      </c>
      <c r="G74" s="649">
        <f t="shared" ca="1" si="8"/>
        <v>3661.08</v>
      </c>
    </row>
    <row r="75" spans="2:7" ht="16.5" x14ac:dyDescent="0.3">
      <c r="B75" s="651" t="s">
        <v>243</v>
      </c>
      <c r="C75" s="144">
        <f ca="1">'Quadro Resumo M² - CESOR'!C74</f>
        <v>0.51</v>
      </c>
      <c r="D75" s="145">
        <f>'Quadro Resumo M² - CESOR'!D74</f>
        <v>97000</v>
      </c>
      <c r="E75" s="652">
        <f t="shared" ca="1" si="6"/>
        <v>49470</v>
      </c>
      <c r="F75" s="385">
        <f t="shared" si="7"/>
        <v>1164000</v>
      </c>
      <c r="G75" s="653">
        <f t="shared" ca="1" si="8"/>
        <v>593640</v>
      </c>
    </row>
    <row r="76" spans="2:7" ht="16.5" x14ac:dyDescent="0.3">
      <c r="B76" s="1204" t="s">
        <v>418</v>
      </c>
      <c r="C76" s="1205"/>
      <c r="D76" s="1205"/>
      <c r="E76" s="1205"/>
      <c r="F76" s="1205"/>
      <c r="G76" s="654">
        <f ca="1">SUM(E70:E75)</f>
        <v>95004.94</v>
      </c>
    </row>
    <row r="77" spans="2:7" ht="17.25" thickBot="1" x14ac:dyDescent="0.35">
      <c r="B77" s="1183" t="s">
        <v>429</v>
      </c>
      <c r="C77" s="1184"/>
      <c r="D77" s="1184"/>
      <c r="E77" s="1184"/>
      <c r="F77" s="1185"/>
      <c r="G77" s="386">
        <f ca="1">G76*12</f>
        <v>1140059.28</v>
      </c>
    </row>
    <row r="78" spans="2:7" ht="16.5" x14ac:dyDescent="0.3">
      <c r="B78" s="1186" t="s">
        <v>427</v>
      </c>
      <c r="C78" s="1187"/>
      <c r="D78" s="1187"/>
      <c r="E78" s="1187"/>
      <c r="F78" s="1187"/>
      <c r="G78" s="644">
        <f>'Quadro Resumo M² - CESOR'!G77</f>
        <v>0</v>
      </c>
    </row>
    <row r="79" spans="2:7" ht="17.25" thickBot="1" x14ac:dyDescent="0.35">
      <c r="B79" s="929" t="s">
        <v>434</v>
      </c>
      <c r="C79" s="930"/>
      <c r="D79" s="930"/>
      <c r="E79" s="930"/>
      <c r="F79" s="930"/>
      <c r="G79" s="437">
        <f>G78*12</f>
        <v>0</v>
      </c>
    </row>
    <row r="80" spans="2:7" ht="16.5" x14ac:dyDescent="0.3">
      <c r="B80" s="1188" t="s">
        <v>503</v>
      </c>
      <c r="C80" s="1189"/>
      <c r="D80" s="1189"/>
      <c r="E80" s="1189"/>
      <c r="F80" s="1190"/>
      <c r="G80" s="646">
        <f ca="1">SUM(G76,G78)</f>
        <v>95004.94</v>
      </c>
    </row>
    <row r="81" spans="2:8" ht="17.25" thickBot="1" x14ac:dyDescent="0.35">
      <c r="B81" s="1191" t="s">
        <v>504</v>
      </c>
      <c r="C81" s="1192"/>
      <c r="D81" s="1192"/>
      <c r="E81" s="1192"/>
      <c r="F81" s="1192"/>
      <c r="G81" s="655">
        <f ca="1">G80*12</f>
        <v>1140059.28</v>
      </c>
    </row>
    <row r="82" spans="2:8" ht="16.5" x14ac:dyDescent="0.2">
      <c r="B82" s="1168" t="str">
        <f>'Quadro Resumo M² - CESOR'!B14:E14</f>
        <v>Agente de Higienização (Diversos)</v>
      </c>
      <c r="C82" s="1169"/>
      <c r="D82" s="1169"/>
      <c r="E82" s="1169"/>
      <c r="F82" s="1169"/>
      <c r="G82" s="627">
        <f>'Quadro Resumo M² - CESOR'!F14</f>
        <v>9</v>
      </c>
    </row>
    <row r="83" spans="2:8" ht="16.5" x14ac:dyDescent="0.2">
      <c r="B83" s="1170" t="str">
        <f>'Quadro Resumo M² - CESOR'!B15:E15</f>
        <v xml:space="preserve">Agente de Higienização (Diuturno) </v>
      </c>
      <c r="C83" s="1171"/>
      <c r="D83" s="1171"/>
      <c r="E83" s="1171"/>
      <c r="F83" s="1171"/>
      <c r="G83" s="656">
        <f>'Quadro Resumo M² - CESOR'!F15</f>
        <v>3</v>
      </c>
      <c r="H83" s="631">
        <f>SUM(G82:G83)</f>
        <v>12</v>
      </c>
    </row>
    <row r="84" spans="2:8" ht="16.5" x14ac:dyDescent="0.2">
      <c r="B84" s="1170" t="str">
        <f>'Quadro Resumo M² - CESOR'!B16:E16</f>
        <v>Jardineiro</v>
      </c>
      <c r="C84" s="1171"/>
      <c r="D84" s="1171"/>
      <c r="E84" s="1171"/>
      <c r="F84" s="1171"/>
      <c r="G84" s="656">
        <f>'Quadro Resumo M² - CESOR'!F16</f>
        <v>2</v>
      </c>
    </row>
    <row r="85" spans="2:8" ht="16.5" x14ac:dyDescent="0.2">
      <c r="B85" s="1170" t="str">
        <f>'Quadro Resumo M² - CESOR'!B17:E17</f>
        <v>Tratorista</v>
      </c>
      <c r="C85" s="1171"/>
      <c r="D85" s="1171"/>
      <c r="E85" s="1171"/>
      <c r="F85" s="1171"/>
      <c r="G85" s="656">
        <f>'Quadro Resumo M² - CESOR'!F17</f>
        <v>1</v>
      </c>
    </row>
    <row r="86" spans="2:8" ht="16.5" x14ac:dyDescent="0.2">
      <c r="B86" s="1170" t="str">
        <f>'Quadro Resumo M² - CESOR'!B18:E18</f>
        <v>Ajudante de Tratorista</v>
      </c>
      <c r="C86" s="1171"/>
      <c r="D86" s="1171"/>
      <c r="E86" s="1171"/>
      <c r="F86" s="1171"/>
      <c r="G86" s="656">
        <f>'Quadro Resumo M² - CESOR'!F18</f>
        <v>1</v>
      </c>
    </row>
    <row r="87" spans="2:8" ht="16.5" x14ac:dyDescent="0.2">
      <c r="B87" s="1170" t="str">
        <f>'Quadro Resumo M² - CESOR'!B19:E19</f>
        <v>Encarregado de Limpeza</v>
      </c>
      <c r="C87" s="1171"/>
      <c r="D87" s="1171"/>
      <c r="E87" s="1171"/>
      <c r="F87" s="1171"/>
      <c r="G87" s="656">
        <f>'Quadro Resumo M² - CESOR'!F19</f>
        <v>1</v>
      </c>
    </row>
    <row r="88" spans="2:8" ht="17.25" thickBot="1" x14ac:dyDescent="0.25">
      <c r="B88" s="1180" t="s">
        <v>446</v>
      </c>
      <c r="C88" s="1181"/>
      <c r="D88" s="1181"/>
      <c r="E88" s="1181"/>
      <c r="F88" s="1182"/>
      <c r="G88" s="146">
        <f>SUM(G82:G87)</f>
        <v>17</v>
      </c>
    </row>
    <row r="89" spans="2:8" ht="16.5" customHeight="1" thickBot="1" x14ac:dyDescent="0.25">
      <c r="B89" s="1177"/>
      <c r="C89" s="1178"/>
      <c r="D89" s="1178"/>
      <c r="E89" s="1178"/>
      <c r="F89" s="1178"/>
      <c r="G89" s="1179"/>
    </row>
    <row r="90" spans="2:8" ht="16.5" x14ac:dyDescent="0.2">
      <c r="B90" s="1174" t="s">
        <v>494</v>
      </c>
      <c r="C90" s="1175"/>
      <c r="D90" s="1175"/>
      <c r="E90" s="1175"/>
      <c r="F90" s="1175"/>
      <c r="G90" s="1176"/>
    </row>
    <row r="91" spans="2:8" ht="16.5" x14ac:dyDescent="0.3">
      <c r="B91" s="1172" t="s">
        <v>502</v>
      </c>
      <c r="C91" s="1173"/>
      <c r="D91" s="1173"/>
      <c r="E91" s="1173"/>
      <c r="F91" s="1173"/>
      <c r="G91" s="657">
        <f ca="1">SUM(G19+G40+G60+G81)</f>
        <v>1887758.4</v>
      </c>
    </row>
    <row r="92" spans="2:8" ht="16.5" x14ac:dyDescent="0.2">
      <c r="B92" s="1172" t="s">
        <v>495</v>
      </c>
      <c r="C92" s="1173"/>
      <c r="D92" s="1173"/>
      <c r="E92" s="1173"/>
      <c r="F92" s="1173"/>
      <c r="G92" s="658">
        <f>SUM(G20+G41+H62+H83)</f>
        <v>27</v>
      </c>
    </row>
    <row r="93" spans="2:8" ht="16.5" x14ac:dyDescent="0.2">
      <c r="B93" s="1172" t="s">
        <v>496</v>
      </c>
      <c r="C93" s="1173"/>
      <c r="D93" s="1173"/>
      <c r="E93" s="1173"/>
      <c r="F93" s="1173"/>
      <c r="G93" s="658">
        <f>SUM(G21+G42+G63+G84)</f>
        <v>5</v>
      </c>
    </row>
    <row r="94" spans="2:8" ht="16.5" x14ac:dyDescent="0.2">
      <c r="B94" s="1172" t="s">
        <v>497</v>
      </c>
      <c r="C94" s="1173"/>
      <c r="D94" s="1173"/>
      <c r="E94" s="1173"/>
      <c r="F94" s="1173"/>
      <c r="G94" s="658">
        <f>SUM(G85)</f>
        <v>1</v>
      </c>
    </row>
    <row r="95" spans="2:8" ht="16.5" x14ac:dyDescent="0.2">
      <c r="B95" s="1172" t="s">
        <v>498</v>
      </c>
      <c r="C95" s="1173"/>
      <c r="D95" s="1173"/>
      <c r="E95" s="1173"/>
      <c r="F95" s="1173"/>
      <c r="G95" s="658">
        <f>SUM(G86)</f>
        <v>1</v>
      </c>
    </row>
    <row r="96" spans="2:8" ht="16.5" x14ac:dyDescent="0.2">
      <c r="B96" s="1172" t="s">
        <v>499</v>
      </c>
      <c r="C96" s="1173"/>
      <c r="D96" s="1173"/>
      <c r="E96" s="1173"/>
      <c r="F96" s="1173"/>
      <c r="G96" s="658">
        <f>SUM(G43)</f>
        <v>1</v>
      </c>
    </row>
    <row r="97" spans="2:8" ht="16.5" x14ac:dyDescent="0.2">
      <c r="B97" s="1172" t="s">
        <v>501</v>
      </c>
      <c r="C97" s="1173"/>
      <c r="D97" s="1173"/>
      <c r="E97" s="1173"/>
      <c r="F97" s="1173"/>
      <c r="G97" s="658">
        <f>SUM(G64)</f>
        <v>1</v>
      </c>
    </row>
    <row r="98" spans="2:8" ht="16.5" x14ac:dyDescent="0.2">
      <c r="B98" s="1172" t="s">
        <v>500</v>
      </c>
      <c r="C98" s="1173"/>
      <c r="D98" s="1173"/>
      <c r="E98" s="1173"/>
      <c r="F98" s="1173"/>
      <c r="G98" s="658">
        <f>SUM(G87)</f>
        <v>1</v>
      </c>
      <c r="H98" s="631">
        <f>SUM(G92:G98)</f>
        <v>37</v>
      </c>
    </row>
    <row r="99" spans="2:8" ht="16.5" x14ac:dyDescent="0.3">
      <c r="B99" s="387" t="s">
        <v>160</v>
      </c>
      <c r="C99" s="58"/>
      <c r="D99" s="58"/>
      <c r="E99" s="58"/>
      <c r="F99" s="58"/>
      <c r="G99" s="71"/>
    </row>
    <row r="100" spans="2:8" ht="17.25" thickBot="1" x14ac:dyDescent="0.25">
      <c r="B100" s="1193"/>
      <c r="C100" s="1194"/>
      <c r="D100" s="1194"/>
      <c r="E100" s="1194"/>
      <c r="F100" s="1194"/>
      <c r="G100" s="1195"/>
    </row>
  </sheetData>
  <mergeCells count="87">
    <mergeCell ref="B14:F14"/>
    <mergeCell ref="F25:F26"/>
    <mergeCell ref="B42:F42"/>
    <mergeCell ref="B43:F43"/>
    <mergeCell ref="B18:F18"/>
    <mergeCell ref="B33:F33"/>
    <mergeCell ref="B35:F35"/>
    <mergeCell ref="B41:F41"/>
    <mergeCell ref="B36:F36"/>
    <mergeCell ref="B39:F39"/>
    <mergeCell ref="B40:F40"/>
    <mergeCell ref="B25:B26"/>
    <mergeCell ref="C25:C26"/>
    <mergeCell ref="B37:F37"/>
    <mergeCell ref="B15:F15"/>
    <mergeCell ref="B20:F20"/>
    <mergeCell ref="B1:G1"/>
    <mergeCell ref="B2:G2"/>
    <mergeCell ref="B3:G3"/>
    <mergeCell ref="D6:D7"/>
    <mergeCell ref="E6:E7"/>
    <mergeCell ref="F6:F7"/>
    <mergeCell ref="G6:G7"/>
    <mergeCell ref="B4:G5"/>
    <mergeCell ref="B6:B7"/>
    <mergeCell ref="C6:C7"/>
    <mergeCell ref="B16:F16"/>
    <mergeCell ref="G25:G26"/>
    <mergeCell ref="B55:F55"/>
    <mergeCell ref="B57:F57"/>
    <mergeCell ref="B34:F34"/>
    <mergeCell ref="D25:D26"/>
    <mergeCell ref="E25:E26"/>
    <mergeCell ref="B38:F38"/>
    <mergeCell ref="B44:F44"/>
    <mergeCell ref="B21:F21"/>
    <mergeCell ref="B22:F22"/>
    <mergeCell ref="B23:G24"/>
    <mergeCell ref="B19:F19"/>
    <mergeCell ref="B17:F17"/>
    <mergeCell ref="B64:F64"/>
    <mergeCell ref="B45:G46"/>
    <mergeCell ref="B47:B48"/>
    <mergeCell ref="C47:C48"/>
    <mergeCell ref="D47:D48"/>
    <mergeCell ref="E47:E48"/>
    <mergeCell ref="F47:F48"/>
    <mergeCell ref="G47:G48"/>
    <mergeCell ref="B56:F56"/>
    <mergeCell ref="B61:F61"/>
    <mergeCell ref="B63:F63"/>
    <mergeCell ref="B58:F58"/>
    <mergeCell ref="B59:F59"/>
    <mergeCell ref="B60:F60"/>
    <mergeCell ref="B62:F62"/>
    <mergeCell ref="B100:G100"/>
    <mergeCell ref="B65:F65"/>
    <mergeCell ref="B91:F91"/>
    <mergeCell ref="B92:F92"/>
    <mergeCell ref="B96:F96"/>
    <mergeCell ref="B98:F98"/>
    <mergeCell ref="B93:F93"/>
    <mergeCell ref="B95:F95"/>
    <mergeCell ref="B66:G67"/>
    <mergeCell ref="B68:B69"/>
    <mergeCell ref="C68:C69"/>
    <mergeCell ref="D68:D69"/>
    <mergeCell ref="E68:E69"/>
    <mergeCell ref="F68:F69"/>
    <mergeCell ref="G68:G69"/>
    <mergeCell ref="B76:F76"/>
    <mergeCell ref="B77:F77"/>
    <mergeCell ref="B78:F78"/>
    <mergeCell ref="B79:F79"/>
    <mergeCell ref="B80:F80"/>
    <mergeCell ref="B81:F81"/>
    <mergeCell ref="B82:F82"/>
    <mergeCell ref="B83:F83"/>
    <mergeCell ref="B84:F84"/>
    <mergeCell ref="B87:F87"/>
    <mergeCell ref="B97:F97"/>
    <mergeCell ref="B90:G90"/>
    <mergeCell ref="B89:G89"/>
    <mergeCell ref="B88:F88"/>
    <mergeCell ref="B85:F85"/>
    <mergeCell ref="B86:F86"/>
    <mergeCell ref="B94:F94"/>
  </mergeCells>
  <printOptions horizontalCentered="1"/>
  <pageMargins left="0.51181102362204722" right="0.51181102362204722" top="0.78740157480314965" bottom="0.78740157480314965" header="0.31496062992125984" footer="0.31496062992125984"/>
  <pageSetup paperSize="9" scale="42" orientation="portrait" r:id="rId1"/>
  <colBreaks count="1" manualBreakCount="1">
    <brk id="7" max="1048575" man="1"/>
  </colBreaks>
  <ignoredErrors>
    <ignoredError sqref="G16"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23</vt:i4>
      </vt:variant>
      <vt:variant>
        <vt:lpstr>Intervalos nomeados</vt:lpstr>
      </vt:variant>
      <vt:variant>
        <vt:i4>22</vt:i4>
      </vt:variant>
    </vt:vector>
  </HeadingPairs>
  <TitlesOfParts>
    <vt:vector size="45" baseType="lpstr">
      <vt:lpstr>Observações</vt:lpstr>
      <vt:lpstr>Insumos Diversos</vt:lpstr>
      <vt:lpstr>Uniformes e EPI's</vt:lpstr>
      <vt:lpstr>Agente de Higienização_CEGUA</vt:lpstr>
      <vt:lpstr>Jardineiro_CEGUA</vt:lpstr>
      <vt:lpstr>Quadro Resumo M² - CEGUA</vt:lpstr>
      <vt:lpstr>Agente de Higienização_CEPIR</vt:lpstr>
      <vt:lpstr>Jardineiro_CEPIR</vt:lpstr>
      <vt:lpstr>Ajud. de Serv. Diversos_CEPIR</vt:lpstr>
      <vt:lpstr>Quadro Resumo M² - CEPIR</vt:lpstr>
      <vt:lpstr>Agente de Hig_CESJC_Diuturno</vt:lpstr>
      <vt:lpstr>Agente de Higienização_CESJC</vt:lpstr>
      <vt:lpstr>Jardineiro_CESJC</vt:lpstr>
      <vt:lpstr>Líder_CESJC</vt:lpstr>
      <vt:lpstr>Quadro Resumo M² - CESJC</vt:lpstr>
      <vt:lpstr>Agente de Hig_div_turnos_CESOR</vt:lpstr>
      <vt:lpstr>Agente de Hig_Diuturno_CESOR</vt:lpstr>
      <vt:lpstr>Jardineiro_CESOR</vt:lpstr>
      <vt:lpstr>Tratorista_CESOR</vt:lpstr>
      <vt:lpstr>Ajudante de Tratorista_CESOR</vt:lpstr>
      <vt:lpstr>Encarregado de Limpeza_CESOR</vt:lpstr>
      <vt:lpstr>Quadro Resumo M² - CESOR</vt:lpstr>
      <vt:lpstr>Quadro Resumo Geral M²</vt:lpstr>
      <vt:lpstr>'Agente de Hig_CESJC_Diuturno'!Area_de_impressao</vt:lpstr>
      <vt:lpstr>'Agente de Hig_Diuturno_CESOR'!Area_de_impressao</vt:lpstr>
      <vt:lpstr>'Agente de Hig_div_turnos_CESOR'!Area_de_impressao</vt:lpstr>
      <vt:lpstr>'Agente de Higienização_CEGUA'!Area_de_impressao</vt:lpstr>
      <vt:lpstr>'Agente de Higienização_CEPIR'!Area_de_impressao</vt:lpstr>
      <vt:lpstr>'Agente de Higienização_CESJC'!Area_de_impressao</vt:lpstr>
      <vt:lpstr>'Ajud. de Serv. Diversos_CEPIR'!Area_de_impressao</vt:lpstr>
      <vt:lpstr>'Ajudante de Tratorista_CESOR'!Area_de_impressao</vt:lpstr>
      <vt:lpstr>'Encarregado de Limpeza_CESOR'!Area_de_impressao</vt:lpstr>
      <vt:lpstr>'Insumos Diversos'!Area_de_impressao</vt:lpstr>
      <vt:lpstr>Jardineiro_CEGUA!Area_de_impressao</vt:lpstr>
      <vt:lpstr>Jardineiro_CEPIR!Area_de_impressao</vt:lpstr>
      <vt:lpstr>Jardineiro_CESJC!Area_de_impressao</vt:lpstr>
      <vt:lpstr>Jardineiro_CESOR!Area_de_impressao</vt:lpstr>
      <vt:lpstr>Líder_CESJC!Area_de_impressao</vt:lpstr>
      <vt:lpstr>'Quadro Resumo Geral M²'!Area_de_impressao</vt:lpstr>
      <vt:lpstr>'Quadro Resumo M² - CEGUA'!Area_de_impressao</vt:lpstr>
      <vt:lpstr>'Quadro Resumo M² - CEPIR'!Area_de_impressao</vt:lpstr>
      <vt:lpstr>'Quadro Resumo M² - CESJC'!Area_de_impressao</vt:lpstr>
      <vt:lpstr>'Quadro Resumo M² - CESOR'!Area_de_impressao</vt:lpstr>
      <vt:lpstr>Tratorista_CESOR!Area_de_impressao</vt:lpstr>
      <vt:lpstr>'Uniformes e EPI''s'!Area_de_impressao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Rogerio Rodrigues Pontes</cp:lastModifiedBy>
  <cp:lastPrinted>2025-12-18T17:33:58Z</cp:lastPrinted>
  <dcterms:created xsi:type="dcterms:W3CDTF">2013-10-22T12:23:02Z</dcterms:created>
  <dcterms:modified xsi:type="dcterms:W3CDTF">2025-12-18T19:15:40Z</dcterms:modified>
</cp:coreProperties>
</file>